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centllec-my.sharepoint.com/personal/ramabilikoe_mosola_centlec_co_za/Documents/Documents/Billys Doc/BUDGET AND REPORTING/202603/Annexures/"/>
    </mc:Choice>
  </mc:AlternateContent>
  <xr:revisionPtr revIDLastSave="25" documentId="8_{B7151859-DB2A-478B-89B5-A50BFDCF0EB4}" xr6:coauthVersionLast="47" xr6:coauthVersionMax="47" xr10:uidLastSave="{8F521372-682E-406F-951D-468D9CDC06A8}"/>
  <bookViews>
    <workbookView xWindow="-110" yWindow="-110" windowWidth="19420" windowHeight="10420" tabRatio="787" firstSheet="7" activeTab="7" xr2:uid="{00000000-000D-0000-FFFF-FFFF00000000}"/>
  </bookViews>
  <sheets>
    <sheet name="Unit tariffs" sheetId="1" state="hidden" r:id="rId1"/>
    <sheet name="Calc Sheet 23_24" sheetId="4" state="hidden" r:id="rId2"/>
    <sheet name="New Conn" sheetId="9" state="hidden" r:id="rId3"/>
    <sheet name="Temp Conn" sheetId="13" state="hidden" r:id="rId4"/>
    <sheet name="Upgrade " sheetId="15" state="hidden" r:id="rId5"/>
    <sheet name="Other Serv" sheetId="14" state="hidden" r:id="rId6"/>
    <sheet name="Summary ALL 2023_24 " sheetId="17" state="hidden" r:id="rId7"/>
    <sheet name="Summary Mangaung 2026_27" sheetId="5" r:id="rId8"/>
    <sheet name="Summary Mangaung 2025_26 (2)" sheetId="19" state="hidden" r:id="rId9"/>
    <sheet name="Summary Mohokare 2024_25 " sheetId="18" state="hidden" r:id="rId10"/>
    <sheet name="Summary Kopanong 2022_23" sheetId="6" state="hidden" r:id="rId11"/>
    <sheet name="Summary Mohokare 2020_23" sheetId="7" state="hidden" r:id="rId12"/>
    <sheet name="Summary Mantsopa 2020_21" sheetId="8" state="hidden" r:id="rId13"/>
  </sheets>
  <externalReferences>
    <externalReference r:id="rId14"/>
  </externalReferences>
  <definedNames>
    <definedName name="_xlnm._FilterDatabase" localSheetId="0" hidden="1">'Unit tariffs'!$A$18:$H$73</definedName>
    <definedName name="_xlnm.Print_Area" localSheetId="1">'Calc Sheet 23_24'!$A$1:$J$2182</definedName>
    <definedName name="_xlnm.Print_Area" localSheetId="2">'New Conn'!$A$1:$L$1517</definedName>
    <definedName name="_xlnm.Print_Area" localSheetId="5">'Other Serv'!$A$1:$I$164</definedName>
    <definedName name="_xlnm.Print_Area" localSheetId="6">'Summary ALL 2023_24 '!$A$1:$N$170</definedName>
    <definedName name="_xlnm.Print_Area" localSheetId="10">'Summary Kopanong 2022_23'!$A$1:$Q$199</definedName>
    <definedName name="_xlnm.Print_Area" localSheetId="8">'Summary Mangaung 2025_26 (2)'!$A$1:$N$170</definedName>
    <definedName name="_xlnm.Print_Area" localSheetId="7">'Summary Mangaung 2026_27'!$A$1:$N$219</definedName>
    <definedName name="_xlnm.Print_Area" localSheetId="9">'Summary Mohokare 2024_25 '!$A$1:$N$170</definedName>
    <definedName name="_xlnm.Print_Area" localSheetId="3">'Temp Conn'!$A$1:$J$193</definedName>
    <definedName name="_xlnm.Print_Area" localSheetId="0">'Unit tariffs'!$B$1:$F$155</definedName>
    <definedName name="_xlnm.Print_Area" localSheetId="4">'Upgrade '!$A$1:$J$300</definedName>
    <definedName name="_xlnm.Print_Titles" localSheetId="0">'Unit tariffs'!$1:$3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2" i="1" l="1"/>
  <c r="F22" i="1" s="1"/>
  <c r="F2" i="1"/>
  <c r="H1500" i="9"/>
  <c r="H1499" i="9"/>
  <c r="H1484" i="9"/>
  <c r="H1462" i="9"/>
  <c r="H1461" i="9"/>
  <c r="H1454" i="9"/>
  <c r="H1442" i="9"/>
  <c r="H1423" i="9"/>
  <c r="H1422" i="9"/>
  <c r="H1410" i="9"/>
  <c r="H1389" i="9"/>
  <c r="H1388" i="9"/>
  <c r="H1372" i="9"/>
  <c r="H1348" i="9"/>
  <c r="H1347" i="9"/>
  <c r="H1335" i="9"/>
  <c r="H1314" i="9"/>
  <c r="H1313" i="9"/>
  <c r="H1295" i="9"/>
  <c r="H1278" i="9"/>
  <c r="H1277" i="9"/>
  <c r="H1279" i="9" s="1"/>
  <c r="H1261" i="9"/>
  <c r="H1239" i="9"/>
  <c r="H1238" i="9"/>
  <c r="H1219" i="9"/>
  <c r="H1200" i="9"/>
  <c r="H1199" i="9"/>
  <c r="H1187" i="9"/>
  <c r="H1166" i="9"/>
  <c r="H1165" i="9"/>
  <c r="H1149" i="9"/>
  <c r="H1125" i="9"/>
  <c r="H1124" i="9"/>
  <c r="H1112" i="9"/>
  <c r="H1091" i="9"/>
  <c r="H1090" i="9"/>
  <c r="H1074" i="9"/>
  <c r="H1053" i="9"/>
  <c r="H1052" i="9"/>
  <c r="H1041" i="9"/>
  <c r="H1019" i="9"/>
  <c r="H1018" i="9"/>
  <c r="H1006" i="9"/>
  <c r="H987" i="9"/>
  <c r="H986" i="9"/>
  <c r="H970" i="9"/>
  <c r="H948" i="9"/>
  <c r="H947" i="9"/>
  <c r="H928" i="9"/>
  <c r="H909" i="9"/>
  <c r="H908" i="9"/>
  <c r="H896" i="9"/>
  <c r="H875" i="9"/>
  <c r="H874" i="9"/>
  <c r="H857" i="9"/>
  <c r="H833" i="9"/>
  <c r="H832" i="9"/>
  <c r="H819" i="9"/>
  <c r="H798" i="9"/>
  <c r="H797" i="9"/>
  <c r="H778" i="9"/>
  <c r="H761" i="9"/>
  <c r="H760" i="9"/>
  <c r="H744" i="9"/>
  <c r="H722" i="9"/>
  <c r="H721" i="9"/>
  <c r="H702" i="9"/>
  <c r="H683" i="9"/>
  <c r="H682" i="9"/>
  <c r="H669" i="9"/>
  <c r="H648" i="9"/>
  <c r="H647" i="9"/>
  <c r="H639" i="9"/>
  <c r="H630" i="9"/>
  <c r="H606" i="9"/>
  <c r="H605" i="9"/>
  <c r="H592" i="9"/>
  <c r="H571" i="9"/>
  <c r="H570" i="9"/>
  <c r="H562" i="9"/>
  <c r="H49" i="9"/>
  <c r="H89" i="9"/>
  <c r="H123" i="9"/>
  <c r="H161" i="9"/>
  <c r="H228" i="9"/>
  <c r="H364" i="9"/>
  <c r="H376" i="9"/>
  <c r="H553" i="9"/>
  <c r="M5" i="5"/>
  <c r="N5" i="5" s="1"/>
  <c r="M3" i="5"/>
  <c r="N3" i="5" s="1"/>
  <c r="M2" i="5"/>
  <c r="N2" i="5" s="1"/>
  <c r="G159" i="19"/>
  <c r="F159" i="19"/>
  <c r="F158" i="19"/>
  <c r="H157" i="19"/>
  <c r="I157" i="19" s="1"/>
  <c r="K157" i="19" s="1"/>
  <c r="L157" i="19" s="1"/>
  <c r="M157" i="19" s="1"/>
  <c r="N157" i="19" s="1"/>
  <c r="G157" i="19"/>
  <c r="F157" i="19"/>
  <c r="D147" i="19"/>
  <c r="E147" i="19" s="1"/>
  <c r="B147" i="19"/>
  <c r="D145" i="19"/>
  <c r="E145" i="19" s="1"/>
  <c r="B145" i="19"/>
  <c r="B144" i="19"/>
  <c r="D142" i="19"/>
  <c r="E142" i="19" s="1"/>
  <c r="B142" i="19"/>
  <c r="D140" i="19"/>
  <c r="E140" i="19" s="1"/>
  <c r="B140" i="19"/>
  <c r="D138" i="19"/>
  <c r="E138" i="19" s="1"/>
  <c r="B138" i="19"/>
  <c r="B137" i="19"/>
  <c r="F135" i="19"/>
  <c r="D135" i="19"/>
  <c r="E135" i="19" s="1"/>
  <c r="G135" i="19" s="1"/>
  <c r="B134" i="19"/>
  <c r="B132" i="19"/>
  <c r="B131" i="19"/>
  <c r="D129" i="19"/>
  <c r="E129" i="19" s="1"/>
  <c r="C129" i="19"/>
  <c r="B129" i="19"/>
  <c r="E127" i="19"/>
  <c r="D127" i="19"/>
  <c r="C127" i="19"/>
  <c r="B127" i="19"/>
  <c r="D125" i="19"/>
  <c r="E125" i="19" s="1"/>
  <c r="C125" i="19"/>
  <c r="B125" i="19"/>
  <c r="D123" i="19"/>
  <c r="E123" i="19" s="1"/>
  <c r="C123" i="19"/>
  <c r="B123" i="19"/>
  <c r="E121" i="19"/>
  <c r="D121" i="19"/>
  <c r="C121" i="19"/>
  <c r="B121" i="19"/>
  <c r="D119" i="19"/>
  <c r="E119" i="19" s="1"/>
  <c r="C119" i="19"/>
  <c r="B119" i="19"/>
  <c r="D117" i="19"/>
  <c r="E117" i="19" s="1"/>
  <c r="C117" i="19"/>
  <c r="B117" i="19"/>
  <c r="D115" i="19"/>
  <c r="E115" i="19" s="1"/>
  <c r="C115" i="19"/>
  <c r="B115" i="19"/>
  <c r="B113" i="19"/>
  <c r="B111" i="19"/>
  <c r="D108" i="19"/>
  <c r="E108" i="19" s="1"/>
  <c r="B108" i="19"/>
  <c r="D106" i="19"/>
  <c r="E106" i="19" s="1"/>
  <c r="B106" i="19"/>
  <c r="E104" i="19"/>
  <c r="D104" i="19"/>
  <c r="B104" i="19"/>
  <c r="D103" i="19"/>
  <c r="E103" i="19" s="1"/>
  <c r="B103" i="19"/>
  <c r="B102" i="19"/>
  <c r="D100" i="19"/>
  <c r="E100" i="19" s="1"/>
  <c r="B100" i="19"/>
  <c r="B98" i="19"/>
  <c r="B95" i="19"/>
  <c r="B93" i="19"/>
  <c r="C91" i="19"/>
  <c r="B91" i="19"/>
  <c r="C89" i="19"/>
  <c r="B89" i="19"/>
  <c r="C87" i="19"/>
  <c r="B87" i="19"/>
  <c r="C85" i="19"/>
  <c r="B85" i="19"/>
  <c r="C83" i="19"/>
  <c r="B83" i="19"/>
  <c r="C81" i="19"/>
  <c r="B81" i="19"/>
  <c r="C79" i="19"/>
  <c r="B79" i="19"/>
  <c r="C77" i="19"/>
  <c r="B77" i="19"/>
  <c r="C75" i="19"/>
  <c r="B75" i="19"/>
  <c r="C73" i="19"/>
  <c r="B73" i="19"/>
  <c r="C71" i="19"/>
  <c r="B71" i="19"/>
  <c r="C69" i="19"/>
  <c r="B69" i="19"/>
  <c r="C67" i="19"/>
  <c r="B67" i="19"/>
  <c r="C65" i="19"/>
  <c r="B65" i="19"/>
  <c r="C63" i="19"/>
  <c r="B63" i="19"/>
  <c r="C61" i="19"/>
  <c r="B61" i="19"/>
  <c r="C59" i="19"/>
  <c r="B59" i="19"/>
  <c r="C57" i="19"/>
  <c r="B57" i="19"/>
  <c r="C55" i="19"/>
  <c r="B55" i="19"/>
  <c r="C53" i="19"/>
  <c r="B53" i="19"/>
  <c r="C51" i="19"/>
  <c r="B51" i="19"/>
  <c r="C49" i="19"/>
  <c r="B49" i="19"/>
  <c r="C47" i="19"/>
  <c r="B47" i="19"/>
  <c r="C45" i="19"/>
  <c r="B45" i="19"/>
  <c r="C43" i="19"/>
  <c r="B43" i="19"/>
  <c r="C41" i="19"/>
  <c r="B41" i="19"/>
  <c r="B39" i="19"/>
  <c r="C37" i="19"/>
  <c r="B37" i="19"/>
  <c r="C35" i="19"/>
  <c r="B35" i="19"/>
  <c r="C33" i="19"/>
  <c r="B33" i="19"/>
  <c r="C31" i="19"/>
  <c r="B31" i="19"/>
  <c r="C29" i="19"/>
  <c r="B29" i="19"/>
  <c r="F27" i="19"/>
  <c r="E27" i="19"/>
  <c r="D27" i="19"/>
  <c r="B27" i="19"/>
  <c r="C26" i="19"/>
  <c r="B26" i="19"/>
  <c r="C25" i="19"/>
  <c r="B25" i="19"/>
  <c r="B24" i="19"/>
  <c r="B23" i="19"/>
  <c r="B21" i="19"/>
  <c r="B20" i="19"/>
  <c r="B19" i="19"/>
  <c r="B18" i="19"/>
  <c r="B16" i="19"/>
  <c r="B14" i="19"/>
  <c r="B12" i="19"/>
  <c r="B10" i="19"/>
  <c r="B8" i="19"/>
  <c r="H3" i="19"/>
  <c r="H34" i="1"/>
  <c r="F34" i="1" s="1"/>
  <c r="H1270" i="9" s="1"/>
  <c r="G72" i="1"/>
  <c r="F159" i="18"/>
  <c r="D147" i="18"/>
  <c r="E147" i="18" s="1"/>
  <c r="B147" i="18"/>
  <c r="E145" i="18"/>
  <c r="D145" i="18"/>
  <c r="B145" i="18"/>
  <c r="B144" i="18"/>
  <c r="E142" i="18"/>
  <c r="D142" i="18"/>
  <c r="B142" i="18"/>
  <c r="D140" i="18"/>
  <c r="E140" i="18" s="1"/>
  <c r="B140" i="18"/>
  <c r="D138" i="18"/>
  <c r="E138" i="18" s="1"/>
  <c r="B138" i="18"/>
  <c r="B137" i="18"/>
  <c r="F135" i="18"/>
  <c r="D135" i="18"/>
  <c r="E135" i="18" s="1"/>
  <c r="G135" i="18" s="1"/>
  <c r="B134" i="18"/>
  <c r="B132" i="18"/>
  <c r="B131" i="18"/>
  <c r="D129" i="18"/>
  <c r="E129" i="18" s="1"/>
  <c r="C129" i="18"/>
  <c r="B129" i="18"/>
  <c r="D127" i="18"/>
  <c r="E127" i="18" s="1"/>
  <c r="C127" i="18"/>
  <c r="B127" i="18"/>
  <c r="D125" i="18"/>
  <c r="E125" i="18" s="1"/>
  <c r="C125" i="18"/>
  <c r="B125" i="18"/>
  <c r="D123" i="18"/>
  <c r="E123" i="18" s="1"/>
  <c r="C123" i="18"/>
  <c r="B123" i="18"/>
  <c r="D121" i="18"/>
  <c r="E121" i="18" s="1"/>
  <c r="C121" i="18"/>
  <c r="B121" i="18"/>
  <c r="D119" i="18"/>
  <c r="E119" i="18" s="1"/>
  <c r="C119" i="18"/>
  <c r="B119" i="18"/>
  <c r="D117" i="18"/>
  <c r="E117" i="18" s="1"/>
  <c r="C117" i="18"/>
  <c r="B117" i="18"/>
  <c r="D115" i="18"/>
  <c r="E115" i="18" s="1"/>
  <c r="C115" i="18"/>
  <c r="B115" i="18"/>
  <c r="B113" i="18"/>
  <c r="B111" i="18"/>
  <c r="D108" i="18"/>
  <c r="E108" i="18" s="1"/>
  <c r="B108" i="18"/>
  <c r="D106" i="18"/>
  <c r="E106" i="18" s="1"/>
  <c r="B106" i="18"/>
  <c r="D104" i="18"/>
  <c r="E104" i="18" s="1"/>
  <c r="B104" i="18"/>
  <c r="E103" i="18"/>
  <c r="D103" i="18"/>
  <c r="B103" i="18"/>
  <c r="B102" i="18"/>
  <c r="E100" i="18"/>
  <c r="D100" i="18"/>
  <c r="B100" i="18"/>
  <c r="B98" i="18"/>
  <c r="B95" i="18"/>
  <c r="B93" i="18"/>
  <c r="C91" i="18"/>
  <c r="B91" i="18"/>
  <c r="C89" i="18"/>
  <c r="B89" i="18"/>
  <c r="C87" i="18"/>
  <c r="B87" i="18"/>
  <c r="C85" i="18"/>
  <c r="B85" i="18"/>
  <c r="C83" i="18"/>
  <c r="B83" i="18"/>
  <c r="C81" i="18"/>
  <c r="B81" i="18"/>
  <c r="C79" i="18"/>
  <c r="B79" i="18"/>
  <c r="C77" i="18"/>
  <c r="B77" i="18"/>
  <c r="C75" i="18"/>
  <c r="B75" i="18"/>
  <c r="C73" i="18"/>
  <c r="B73" i="18"/>
  <c r="C71" i="18"/>
  <c r="B71" i="18"/>
  <c r="C69" i="18"/>
  <c r="B69" i="18"/>
  <c r="C67" i="18"/>
  <c r="B67" i="18"/>
  <c r="C65" i="18"/>
  <c r="B65" i="18"/>
  <c r="C63" i="18"/>
  <c r="B63" i="18"/>
  <c r="C61" i="18"/>
  <c r="B61" i="18"/>
  <c r="C59" i="18"/>
  <c r="B59" i="18"/>
  <c r="C57" i="18"/>
  <c r="B57" i="18"/>
  <c r="C55" i="18"/>
  <c r="B55" i="18"/>
  <c r="C53" i="18"/>
  <c r="B53" i="18"/>
  <c r="C51" i="18"/>
  <c r="B51" i="18"/>
  <c r="C49" i="18"/>
  <c r="B49" i="18"/>
  <c r="C47" i="18"/>
  <c r="B47" i="18"/>
  <c r="C45" i="18"/>
  <c r="B45" i="18"/>
  <c r="C43" i="18"/>
  <c r="B43" i="18"/>
  <c r="C41" i="18"/>
  <c r="B41" i="18"/>
  <c r="B39" i="18"/>
  <c r="C37" i="18"/>
  <c r="B37" i="18"/>
  <c r="C35" i="18"/>
  <c r="B35" i="18"/>
  <c r="C33" i="18"/>
  <c r="B33" i="18"/>
  <c r="C31" i="18"/>
  <c r="B31" i="18"/>
  <c r="C29" i="18"/>
  <c r="B29" i="18"/>
  <c r="F27" i="18"/>
  <c r="E27" i="18"/>
  <c r="D27" i="18"/>
  <c r="B27" i="18"/>
  <c r="C26" i="18"/>
  <c r="B26" i="18"/>
  <c r="C25" i="18"/>
  <c r="B25" i="18"/>
  <c r="B24" i="18"/>
  <c r="B23" i="18"/>
  <c r="B21" i="18"/>
  <c r="B20" i="18"/>
  <c r="B19" i="18"/>
  <c r="B18" i="18"/>
  <c r="B16" i="18"/>
  <c r="B14" i="18"/>
  <c r="B12" i="18"/>
  <c r="B10" i="18"/>
  <c r="B8" i="18"/>
  <c r="H3" i="18"/>
  <c r="E147" i="17"/>
  <c r="D147" i="17"/>
  <c r="B147" i="17"/>
  <c r="E145" i="17"/>
  <c r="D145" i="17"/>
  <c r="B145" i="17"/>
  <c r="B144" i="17"/>
  <c r="E142" i="17"/>
  <c r="D142" i="17"/>
  <c r="B142" i="17"/>
  <c r="D140" i="17"/>
  <c r="E140" i="17" s="1"/>
  <c r="B140" i="17"/>
  <c r="E138" i="17"/>
  <c r="D138" i="17"/>
  <c r="B138" i="17"/>
  <c r="B137" i="17"/>
  <c r="G135" i="17"/>
  <c r="F135" i="17"/>
  <c r="E135" i="17"/>
  <c r="D135" i="17"/>
  <c r="B134" i="17"/>
  <c r="B132" i="17"/>
  <c r="B131" i="17"/>
  <c r="D129" i="17"/>
  <c r="E129" i="17" s="1"/>
  <c r="C129" i="17"/>
  <c r="B129" i="17"/>
  <c r="D127" i="17"/>
  <c r="E127" i="17" s="1"/>
  <c r="C127" i="17"/>
  <c r="B127" i="17"/>
  <c r="D125" i="17"/>
  <c r="E125" i="17" s="1"/>
  <c r="C125" i="17"/>
  <c r="B125" i="17"/>
  <c r="D123" i="17"/>
  <c r="E123" i="17" s="1"/>
  <c r="C123" i="17"/>
  <c r="B123" i="17"/>
  <c r="D121" i="17"/>
  <c r="E121" i="17" s="1"/>
  <c r="C121" i="17"/>
  <c r="B121" i="17"/>
  <c r="D119" i="17"/>
  <c r="E119" i="17" s="1"/>
  <c r="C119" i="17"/>
  <c r="B119" i="17"/>
  <c r="D117" i="17"/>
  <c r="E117" i="17" s="1"/>
  <c r="C117" i="17"/>
  <c r="B117" i="17"/>
  <c r="D115" i="17"/>
  <c r="E115" i="17" s="1"/>
  <c r="C115" i="17"/>
  <c r="B115" i="17"/>
  <c r="B113" i="17"/>
  <c r="B111" i="17"/>
  <c r="D108" i="17"/>
  <c r="E108" i="17" s="1"/>
  <c r="B108" i="17"/>
  <c r="E106" i="17"/>
  <c r="D106" i="17"/>
  <c r="B106" i="17"/>
  <c r="D104" i="17"/>
  <c r="E104" i="17" s="1"/>
  <c r="B104" i="17"/>
  <c r="E103" i="17"/>
  <c r="D103" i="17"/>
  <c r="B103" i="17"/>
  <c r="B102" i="17"/>
  <c r="E100" i="17"/>
  <c r="D100" i="17"/>
  <c r="B100" i="17"/>
  <c r="B98" i="17"/>
  <c r="B95" i="17"/>
  <c r="B93" i="17"/>
  <c r="C91" i="17"/>
  <c r="B91" i="17"/>
  <c r="C89" i="17"/>
  <c r="B89" i="17"/>
  <c r="C87" i="17"/>
  <c r="B87" i="17"/>
  <c r="C85" i="17"/>
  <c r="B85" i="17"/>
  <c r="C83" i="17"/>
  <c r="B83" i="17"/>
  <c r="C81" i="17"/>
  <c r="B81" i="17"/>
  <c r="C79" i="17"/>
  <c r="B79" i="17"/>
  <c r="C77" i="17"/>
  <c r="B77" i="17"/>
  <c r="C75" i="17"/>
  <c r="B75" i="17"/>
  <c r="C73" i="17"/>
  <c r="B73" i="17"/>
  <c r="C71" i="17"/>
  <c r="B71" i="17"/>
  <c r="C69" i="17"/>
  <c r="B69" i="17"/>
  <c r="C67" i="17"/>
  <c r="B67" i="17"/>
  <c r="C65" i="17"/>
  <c r="B65" i="17"/>
  <c r="C63" i="17"/>
  <c r="B63" i="17"/>
  <c r="C61" i="17"/>
  <c r="B61" i="17"/>
  <c r="C59" i="17"/>
  <c r="B59" i="17"/>
  <c r="C57" i="17"/>
  <c r="B57" i="17"/>
  <c r="C55" i="17"/>
  <c r="B55" i="17"/>
  <c r="C53" i="17"/>
  <c r="B53" i="17"/>
  <c r="C51" i="17"/>
  <c r="B51" i="17"/>
  <c r="C49" i="17"/>
  <c r="B49" i="17"/>
  <c r="C47" i="17"/>
  <c r="B47" i="17"/>
  <c r="C45" i="17"/>
  <c r="B45" i="17"/>
  <c r="C43" i="17"/>
  <c r="B43" i="17"/>
  <c r="C41" i="17"/>
  <c r="B41" i="17"/>
  <c r="B39" i="17"/>
  <c r="C37" i="17"/>
  <c r="B37" i="17"/>
  <c r="C35" i="17"/>
  <c r="B35" i="17"/>
  <c r="C33" i="17"/>
  <c r="B33" i="17"/>
  <c r="C31" i="17"/>
  <c r="B31" i="17"/>
  <c r="C29" i="17"/>
  <c r="B29" i="17"/>
  <c r="F27" i="17"/>
  <c r="E27" i="17"/>
  <c r="D27" i="17"/>
  <c r="B27" i="17"/>
  <c r="C26" i="17"/>
  <c r="B26" i="17"/>
  <c r="C25" i="17"/>
  <c r="B25" i="17"/>
  <c r="B24" i="17"/>
  <c r="B23" i="17"/>
  <c r="B21" i="17"/>
  <c r="B20" i="17"/>
  <c r="B19" i="17"/>
  <c r="B18" i="17"/>
  <c r="B16" i="17"/>
  <c r="B14" i="17"/>
  <c r="B12" i="17"/>
  <c r="B10" i="17"/>
  <c r="B8" i="17"/>
  <c r="H3" i="17"/>
  <c r="B23" i="5"/>
  <c r="E27" i="5"/>
  <c r="C111" i="14"/>
  <c r="C110" i="14"/>
  <c r="D147" i="5"/>
  <c r="E147" i="5" s="1"/>
  <c r="B147" i="5"/>
  <c r="D145" i="5"/>
  <c r="E145" i="5" s="1"/>
  <c r="B145" i="5"/>
  <c r="B144" i="5"/>
  <c r="D142" i="5"/>
  <c r="E142" i="5" s="1"/>
  <c r="B142" i="5"/>
  <c r="D140" i="5"/>
  <c r="E140" i="5" s="1"/>
  <c r="B140" i="5"/>
  <c r="D138" i="5"/>
  <c r="E138" i="5" s="1"/>
  <c r="B138" i="5"/>
  <c r="B137" i="5"/>
  <c r="F135" i="5"/>
  <c r="K135" i="5" s="1"/>
  <c r="D135" i="5"/>
  <c r="E135" i="5" s="1"/>
  <c r="B134" i="5"/>
  <c r="B132" i="5"/>
  <c r="D129" i="5"/>
  <c r="E129" i="5" s="1"/>
  <c r="C129" i="5"/>
  <c r="B129" i="5"/>
  <c r="D127" i="5"/>
  <c r="E127" i="5" s="1"/>
  <c r="C127" i="5"/>
  <c r="B127" i="5"/>
  <c r="D125" i="5"/>
  <c r="E125" i="5" s="1"/>
  <c r="C125" i="5"/>
  <c r="B125" i="5"/>
  <c r="D123" i="5"/>
  <c r="E123" i="5" s="1"/>
  <c r="C123" i="5"/>
  <c r="B123" i="5"/>
  <c r="D121" i="5"/>
  <c r="E121" i="5" s="1"/>
  <c r="C121" i="5"/>
  <c r="B121" i="5"/>
  <c r="D119" i="5"/>
  <c r="E119" i="5" s="1"/>
  <c r="C119" i="5"/>
  <c r="B119" i="5"/>
  <c r="D117" i="5"/>
  <c r="E117" i="5" s="1"/>
  <c r="C117" i="5"/>
  <c r="B117" i="5"/>
  <c r="D115" i="5"/>
  <c r="E115" i="5" s="1"/>
  <c r="C115" i="5"/>
  <c r="B115" i="5"/>
  <c r="B113" i="5"/>
  <c r="D108" i="5"/>
  <c r="E108" i="5" s="1"/>
  <c r="B108" i="5"/>
  <c r="D106" i="5"/>
  <c r="E106" i="5" s="1"/>
  <c r="B106" i="5"/>
  <c r="D104" i="5"/>
  <c r="E104" i="5" s="1"/>
  <c r="B104" i="5"/>
  <c r="D103" i="5"/>
  <c r="E103" i="5" s="1"/>
  <c r="B103" i="5"/>
  <c r="B102" i="5"/>
  <c r="D100" i="5"/>
  <c r="E100" i="5" s="1"/>
  <c r="B100" i="5"/>
  <c r="B98" i="5"/>
  <c r="B95" i="5"/>
  <c r="B93" i="5"/>
  <c r="B8" i="5"/>
  <c r="C91" i="5"/>
  <c r="B91" i="5"/>
  <c r="C89" i="5"/>
  <c r="B89" i="5"/>
  <c r="C87" i="5"/>
  <c r="B87" i="5"/>
  <c r="C85" i="5"/>
  <c r="B85" i="5"/>
  <c r="C83" i="5"/>
  <c r="B83" i="5"/>
  <c r="C81" i="5"/>
  <c r="B81" i="5"/>
  <c r="C79" i="5"/>
  <c r="B79" i="5"/>
  <c r="C77" i="5"/>
  <c r="B77" i="5"/>
  <c r="C75" i="5"/>
  <c r="B75" i="5"/>
  <c r="C73" i="5"/>
  <c r="B73" i="5"/>
  <c r="C71" i="5"/>
  <c r="B71" i="5"/>
  <c r="C69" i="5"/>
  <c r="B69" i="5"/>
  <c r="C67" i="5"/>
  <c r="B67" i="5"/>
  <c r="C65" i="5"/>
  <c r="B65" i="5"/>
  <c r="C63" i="5"/>
  <c r="B63" i="5"/>
  <c r="C61" i="5"/>
  <c r="B61" i="5"/>
  <c r="C59" i="5"/>
  <c r="B59" i="5"/>
  <c r="C57" i="5"/>
  <c r="B57" i="5"/>
  <c r="C55" i="5"/>
  <c r="B55" i="5"/>
  <c r="C53" i="5"/>
  <c r="B53" i="5"/>
  <c r="C51" i="5"/>
  <c r="B51" i="5"/>
  <c r="C49" i="5"/>
  <c r="B49" i="5"/>
  <c r="C47" i="5"/>
  <c r="B47" i="5"/>
  <c r="C45" i="5"/>
  <c r="B45" i="5"/>
  <c r="C43" i="5"/>
  <c r="B43" i="5"/>
  <c r="C41" i="5"/>
  <c r="B41" i="5"/>
  <c r="B39" i="5"/>
  <c r="C37" i="5"/>
  <c r="B37" i="5"/>
  <c r="C35" i="5"/>
  <c r="B35" i="5"/>
  <c r="C33" i="5"/>
  <c r="B33" i="5"/>
  <c r="C31" i="5"/>
  <c r="B31" i="5"/>
  <c r="C29" i="5"/>
  <c r="B29" i="5"/>
  <c r="F27" i="5"/>
  <c r="K27" i="5" s="1"/>
  <c r="L27" i="5" s="1"/>
  <c r="D27" i="5"/>
  <c r="B27" i="5"/>
  <c r="C26" i="5"/>
  <c r="B26" i="5"/>
  <c r="C25" i="5"/>
  <c r="B25" i="5"/>
  <c r="B24" i="5"/>
  <c r="B21" i="5"/>
  <c r="B20" i="5"/>
  <c r="B18" i="5"/>
  <c r="B16" i="5"/>
  <c r="B14" i="5"/>
  <c r="B12" i="5"/>
  <c r="B10" i="5"/>
  <c r="C134" i="14"/>
  <c r="I98" i="14"/>
  <c r="H98" i="14"/>
  <c r="C106" i="14"/>
  <c r="C105" i="14"/>
  <c r="F149" i="14"/>
  <c r="D149" i="14"/>
  <c r="B149" i="14"/>
  <c r="C144" i="14"/>
  <c r="C143" i="14"/>
  <c r="C139" i="14"/>
  <c r="C138" i="14"/>
  <c r="I130" i="14"/>
  <c r="H130" i="14"/>
  <c r="F117" i="14"/>
  <c r="D117" i="14"/>
  <c r="B117" i="14"/>
  <c r="I67" i="14"/>
  <c r="H67" i="14"/>
  <c r="I77" i="14"/>
  <c r="I78" i="14" s="1"/>
  <c r="I34" i="14"/>
  <c r="H34" i="14"/>
  <c r="I23" i="14"/>
  <c r="H23" i="14"/>
  <c r="I7" i="14"/>
  <c r="H7" i="14"/>
  <c r="E13" i="14"/>
  <c r="I266" i="15"/>
  <c r="H266" i="15"/>
  <c r="I229" i="15"/>
  <c r="H229" i="15"/>
  <c r="I192" i="15"/>
  <c r="H192" i="15"/>
  <c r="I155" i="15"/>
  <c r="H155" i="15"/>
  <c r="I120" i="15"/>
  <c r="H120" i="15"/>
  <c r="I81" i="15"/>
  <c r="H81" i="15"/>
  <c r="I44" i="15"/>
  <c r="H44" i="15"/>
  <c r="I4" i="15"/>
  <c r="H4" i="15"/>
  <c r="I156" i="13"/>
  <c r="H156" i="13"/>
  <c r="I116" i="13"/>
  <c r="H116" i="13"/>
  <c r="I84" i="13"/>
  <c r="H84" i="13"/>
  <c r="I53" i="13"/>
  <c r="H53" i="13"/>
  <c r="F293" i="15"/>
  <c r="D293" i="15"/>
  <c r="B293" i="15"/>
  <c r="C289" i="15"/>
  <c r="C288" i="15"/>
  <c r="C284" i="15"/>
  <c r="C283" i="15"/>
  <c r="C279" i="15"/>
  <c r="C278" i="15"/>
  <c r="C277" i="15"/>
  <c r="C276" i="15"/>
  <c r="C275" i="15"/>
  <c r="F271" i="15"/>
  <c r="C271" i="15"/>
  <c r="C270" i="15"/>
  <c r="F257" i="15"/>
  <c r="D257" i="15"/>
  <c r="B257" i="15"/>
  <c r="C253" i="15"/>
  <c r="C252" i="15"/>
  <c r="C248" i="15"/>
  <c r="C247" i="15"/>
  <c r="C243" i="15"/>
  <c r="C242" i="15"/>
  <c r="C241" i="15"/>
  <c r="C240" i="15"/>
  <c r="C239" i="15"/>
  <c r="F234" i="15"/>
  <c r="C234" i="15"/>
  <c r="C233" i="15"/>
  <c r="F220" i="15"/>
  <c r="D220" i="15"/>
  <c r="B220" i="15"/>
  <c r="C216" i="15"/>
  <c r="C215" i="15"/>
  <c r="C211" i="15"/>
  <c r="C210" i="15"/>
  <c r="C206" i="15"/>
  <c r="C205" i="15"/>
  <c r="C204" i="15"/>
  <c r="C203" i="15"/>
  <c r="C202" i="15"/>
  <c r="F198" i="15"/>
  <c r="C198" i="15"/>
  <c r="C197" i="15"/>
  <c r="C196" i="15"/>
  <c r="F183" i="15"/>
  <c r="D183" i="15"/>
  <c r="B183" i="15"/>
  <c r="C179" i="15"/>
  <c r="C178" i="15"/>
  <c r="C174" i="15"/>
  <c r="C173" i="15"/>
  <c r="C169" i="15"/>
  <c r="C168" i="15"/>
  <c r="C167" i="15"/>
  <c r="C166" i="15"/>
  <c r="F161" i="15"/>
  <c r="C161" i="15"/>
  <c r="C160" i="15"/>
  <c r="C159" i="15"/>
  <c r="F146" i="15"/>
  <c r="D146" i="15"/>
  <c r="B146" i="15"/>
  <c r="C142" i="15"/>
  <c r="C141" i="15"/>
  <c r="C137" i="15"/>
  <c r="C136" i="15"/>
  <c r="C132" i="15"/>
  <c r="C131" i="15"/>
  <c r="C130" i="15"/>
  <c r="C129" i="15"/>
  <c r="F125" i="15"/>
  <c r="C125" i="15"/>
  <c r="F124" i="15"/>
  <c r="C124" i="15"/>
  <c r="F109" i="15"/>
  <c r="D109" i="15"/>
  <c r="B109" i="15"/>
  <c r="C104" i="15"/>
  <c r="C103" i="15"/>
  <c r="C99" i="15"/>
  <c r="C98" i="15"/>
  <c r="C94" i="15"/>
  <c r="C93" i="15"/>
  <c r="C92" i="15"/>
  <c r="C90" i="15"/>
  <c r="F86" i="15"/>
  <c r="C86" i="15"/>
  <c r="F85" i="15"/>
  <c r="C85" i="15"/>
  <c r="F71" i="15"/>
  <c r="D71" i="15"/>
  <c r="B71" i="15"/>
  <c r="C67" i="15"/>
  <c r="C66" i="15"/>
  <c r="C62" i="15"/>
  <c r="C61" i="15"/>
  <c r="C57" i="15"/>
  <c r="C56" i="15"/>
  <c r="C55" i="15"/>
  <c r="C54" i="15"/>
  <c r="F50" i="15"/>
  <c r="C50" i="15"/>
  <c r="F49" i="15"/>
  <c r="C49" i="15"/>
  <c r="F48" i="15"/>
  <c r="C48" i="15"/>
  <c r="F33" i="15"/>
  <c r="D33" i="15"/>
  <c r="B33" i="15"/>
  <c r="C28" i="15"/>
  <c r="C27" i="15"/>
  <c r="C23" i="15"/>
  <c r="C22" i="15"/>
  <c r="C18" i="15"/>
  <c r="C17" i="15"/>
  <c r="C16" i="15"/>
  <c r="C14" i="15"/>
  <c r="F10" i="15"/>
  <c r="C10" i="15"/>
  <c r="F9" i="15"/>
  <c r="C9" i="15"/>
  <c r="F8" i="15"/>
  <c r="C8" i="15"/>
  <c r="H58" i="13"/>
  <c r="H89" i="13"/>
  <c r="F105" i="13"/>
  <c r="D105" i="13"/>
  <c r="B105" i="13"/>
  <c r="C101" i="13"/>
  <c r="B101" i="13"/>
  <c r="C100" i="13"/>
  <c r="C96" i="13"/>
  <c r="C95" i="13"/>
  <c r="C92" i="13"/>
  <c r="C91" i="13"/>
  <c r="C120" i="13"/>
  <c r="C56" i="13"/>
  <c r="I6" i="13"/>
  <c r="H6" i="13"/>
  <c r="F82" i="14"/>
  <c r="D82" i="14"/>
  <c r="B82" i="14"/>
  <c r="C74" i="14"/>
  <c r="C73" i="14"/>
  <c r="C72" i="14"/>
  <c r="F54" i="14"/>
  <c r="D54" i="14"/>
  <c r="B54" i="14"/>
  <c r="C50" i="14"/>
  <c r="C49" i="14"/>
  <c r="C45" i="14"/>
  <c r="C44" i="14"/>
  <c r="C40" i="14"/>
  <c r="C39" i="14"/>
  <c r="C38" i="14"/>
  <c r="C37" i="14"/>
  <c r="F13" i="14"/>
  <c r="F188" i="13"/>
  <c r="D188" i="13"/>
  <c r="B188" i="13"/>
  <c r="C184" i="13"/>
  <c r="C183" i="13"/>
  <c r="C179" i="13"/>
  <c r="B179" i="13"/>
  <c r="C178" i="13"/>
  <c r="C174" i="13"/>
  <c r="C173" i="13"/>
  <c r="C170" i="13"/>
  <c r="C169" i="13"/>
  <c r="F149" i="13"/>
  <c r="D149" i="13"/>
  <c r="B149" i="13"/>
  <c r="C144" i="13"/>
  <c r="C143" i="13"/>
  <c r="C139" i="13"/>
  <c r="B139" i="13"/>
  <c r="C138" i="13"/>
  <c r="C134" i="13"/>
  <c r="C133" i="13"/>
  <c r="C130" i="13"/>
  <c r="C129" i="13"/>
  <c r="F74" i="13"/>
  <c r="D74" i="13"/>
  <c r="B74" i="13"/>
  <c r="C70" i="13"/>
  <c r="B70" i="13"/>
  <c r="C69" i="13"/>
  <c r="C65" i="13"/>
  <c r="C64" i="13"/>
  <c r="C61" i="13"/>
  <c r="C60" i="13"/>
  <c r="F39" i="13"/>
  <c r="D39" i="13"/>
  <c r="B39" i="13"/>
  <c r="C34" i="13"/>
  <c r="C33" i="13"/>
  <c r="C29" i="13"/>
  <c r="B29" i="13"/>
  <c r="C28" i="13"/>
  <c r="C24" i="13"/>
  <c r="C23" i="13"/>
  <c r="C20" i="13"/>
  <c r="C19" i="13"/>
  <c r="C16" i="13"/>
  <c r="C15" i="13"/>
  <c r="C14" i="13"/>
  <c r="C13" i="13"/>
  <c r="C12" i="13"/>
  <c r="I364" i="9"/>
  <c r="C340" i="9"/>
  <c r="C339" i="9"/>
  <c r="C338" i="9"/>
  <c r="C334" i="9"/>
  <c r="C333" i="9"/>
  <c r="F355" i="9"/>
  <c r="D355" i="9"/>
  <c r="B355" i="9"/>
  <c r="C350" i="9"/>
  <c r="C349" i="9"/>
  <c r="C345" i="9"/>
  <c r="C344" i="9"/>
  <c r="F334" i="9"/>
  <c r="F333" i="9"/>
  <c r="I329" i="9"/>
  <c r="C309" i="9"/>
  <c r="C305" i="9"/>
  <c r="C304" i="9"/>
  <c r="C303" i="9"/>
  <c r="C298" i="9"/>
  <c r="C299" i="9"/>
  <c r="C297" i="9"/>
  <c r="F320" i="9"/>
  <c r="D320" i="9"/>
  <c r="B320" i="9"/>
  <c r="C315" i="9"/>
  <c r="C314" i="9"/>
  <c r="C310" i="9"/>
  <c r="F299" i="9"/>
  <c r="F298" i="9"/>
  <c r="F297" i="9"/>
  <c r="I293" i="9"/>
  <c r="C1495" i="9"/>
  <c r="C1494" i="9"/>
  <c r="C1493" i="9"/>
  <c r="C1488" i="9"/>
  <c r="C1487" i="9"/>
  <c r="C1457" i="9"/>
  <c r="C1456" i="9"/>
  <c r="C1455" i="9"/>
  <c r="C1454" i="9"/>
  <c r="C1449" i="9"/>
  <c r="C1448" i="9"/>
  <c r="C1447" i="9"/>
  <c r="C1419" i="9"/>
  <c r="C1418" i="9"/>
  <c r="C1417" i="9"/>
  <c r="C1414" i="9"/>
  <c r="C1413" i="9"/>
  <c r="C1383" i="9"/>
  <c r="C1382" i="9"/>
  <c r="C1381" i="9"/>
  <c r="C1377" i="9"/>
  <c r="C1376" i="9"/>
  <c r="C1375" i="9"/>
  <c r="C1344" i="9"/>
  <c r="C1343" i="9"/>
  <c r="C1342" i="9"/>
  <c r="C1339" i="9"/>
  <c r="C1338" i="9"/>
  <c r="C1308" i="9"/>
  <c r="C1307" i="9"/>
  <c r="C1306" i="9"/>
  <c r="C1302" i="9"/>
  <c r="C1301" i="9"/>
  <c r="C1300" i="9"/>
  <c r="C1273" i="9"/>
  <c r="C1272" i="9"/>
  <c r="C1271" i="9"/>
  <c r="C1270" i="9"/>
  <c r="C1265" i="9"/>
  <c r="C1264" i="9"/>
  <c r="C1233" i="9"/>
  <c r="C1234" i="9"/>
  <c r="C1232" i="9"/>
  <c r="C1231" i="9"/>
  <c r="C1226" i="9"/>
  <c r="C1225" i="9"/>
  <c r="C1224" i="9"/>
  <c r="C1196" i="9"/>
  <c r="C1195" i="9"/>
  <c r="C1194" i="9"/>
  <c r="C1160" i="9"/>
  <c r="C1159" i="9"/>
  <c r="C1158" i="9"/>
  <c r="C1154" i="9"/>
  <c r="C1153" i="9"/>
  <c r="C1152" i="9"/>
  <c r="C1121" i="9"/>
  <c r="C1120" i="9"/>
  <c r="C1119" i="9"/>
  <c r="C1083" i="9"/>
  <c r="C1085" i="9"/>
  <c r="C1084" i="9"/>
  <c r="C903" i="9"/>
  <c r="C1079" i="9"/>
  <c r="C1078" i="9"/>
  <c r="C1077" i="9"/>
  <c r="F1509" i="9"/>
  <c r="D1509" i="9"/>
  <c r="B1509" i="9"/>
  <c r="C1505" i="9"/>
  <c r="C1504" i="9"/>
  <c r="C1500" i="9"/>
  <c r="C1499" i="9"/>
  <c r="F1488" i="9"/>
  <c r="F1487" i="9"/>
  <c r="I1484" i="9"/>
  <c r="F1472" i="9"/>
  <c r="D1472" i="9"/>
  <c r="B1472" i="9"/>
  <c r="C1467" i="9"/>
  <c r="C1466" i="9"/>
  <c r="C1462" i="9"/>
  <c r="C1461" i="9"/>
  <c r="F1449" i="9"/>
  <c r="F1448" i="9"/>
  <c r="F1447" i="9"/>
  <c r="I1442" i="9"/>
  <c r="F1432" i="9"/>
  <c r="D1432" i="9"/>
  <c r="B1432" i="9"/>
  <c r="C1427" i="9"/>
  <c r="B1427" i="9"/>
  <c r="C1426" i="9"/>
  <c r="C1423" i="9"/>
  <c r="B1423" i="9"/>
  <c r="C1422" i="9"/>
  <c r="F1414" i="9"/>
  <c r="F1413" i="9"/>
  <c r="I1410" i="9"/>
  <c r="F1398" i="9"/>
  <c r="D1398" i="9"/>
  <c r="B1398" i="9"/>
  <c r="C1394" i="9"/>
  <c r="C1393" i="9"/>
  <c r="C1389" i="9"/>
  <c r="B1389" i="9"/>
  <c r="C1388" i="9"/>
  <c r="F1377" i="9"/>
  <c r="F1376" i="9"/>
  <c r="F1375" i="9"/>
  <c r="I1372" i="9"/>
  <c r="F1357" i="9"/>
  <c r="D1357" i="9"/>
  <c r="B1357" i="9"/>
  <c r="C1352" i="9"/>
  <c r="B1352" i="9"/>
  <c r="C1351" i="9"/>
  <c r="C1348" i="9"/>
  <c r="B1348" i="9"/>
  <c r="C1347" i="9"/>
  <c r="F1339" i="9"/>
  <c r="F1338" i="9"/>
  <c r="I1335" i="9"/>
  <c r="F1323" i="9"/>
  <c r="D1323" i="9"/>
  <c r="B1323" i="9"/>
  <c r="C1319" i="9"/>
  <c r="C1318" i="9"/>
  <c r="C1314" i="9"/>
  <c r="B1314" i="9"/>
  <c r="C1313" i="9"/>
  <c r="F1302" i="9"/>
  <c r="F1301" i="9"/>
  <c r="F1300" i="9"/>
  <c r="I1295" i="9"/>
  <c r="F1287" i="9"/>
  <c r="D1287" i="9"/>
  <c r="B1287" i="9"/>
  <c r="C1283" i="9"/>
  <c r="C1282" i="9"/>
  <c r="C1278" i="9"/>
  <c r="C1277" i="9"/>
  <c r="F1265" i="9"/>
  <c r="F1264" i="9"/>
  <c r="I1261" i="9"/>
  <c r="F1249" i="9"/>
  <c r="D1249" i="9"/>
  <c r="B1249" i="9"/>
  <c r="C1244" i="9"/>
  <c r="C1243" i="9"/>
  <c r="C1239" i="9"/>
  <c r="C1238" i="9"/>
  <c r="F1226" i="9"/>
  <c r="F1225" i="9"/>
  <c r="F1224" i="9"/>
  <c r="I1219" i="9"/>
  <c r="F1209" i="9"/>
  <c r="D1209" i="9"/>
  <c r="B1209" i="9"/>
  <c r="C1204" i="9"/>
  <c r="B1204" i="9"/>
  <c r="C1203" i="9"/>
  <c r="C1200" i="9"/>
  <c r="B1200" i="9"/>
  <c r="C1199" i="9"/>
  <c r="F1191" i="9"/>
  <c r="C1191" i="9"/>
  <c r="F1190" i="9"/>
  <c r="C1190" i="9"/>
  <c r="I1187" i="9"/>
  <c r="F1175" i="9"/>
  <c r="D1175" i="9"/>
  <c r="B1175" i="9"/>
  <c r="C1171" i="9"/>
  <c r="C1170" i="9"/>
  <c r="C1166" i="9"/>
  <c r="B1166" i="9"/>
  <c r="C1165" i="9"/>
  <c r="F1154" i="9"/>
  <c r="F1153" i="9"/>
  <c r="F1152" i="9"/>
  <c r="I1149" i="9"/>
  <c r="F1134" i="9"/>
  <c r="D1134" i="9"/>
  <c r="B1134" i="9"/>
  <c r="C1129" i="9"/>
  <c r="B1129" i="9"/>
  <c r="C1128" i="9"/>
  <c r="C1125" i="9"/>
  <c r="B1125" i="9"/>
  <c r="C1124" i="9"/>
  <c r="F1116" i="9"/>
  <c r="C1116" i="9"/>
  <c r="F1115" i="9"/>
  <c r="C1115" i="9"/>
  <c r="I1112" i="9"/>
  <c r="F1100" i="9"/>
  <c r="D1100" i="9"/>
  <c r="B1100" i="9"/>
  <c r="C1096" i="9"/>
  <c r="C1095" i="9"/>
  <c r="C1091" i="9"/>
  <c r="B1091" i="9"/>
  <c r="C1090" i="9"/>
  <c r="F1079" i="9"/>
  <c r="F1078" i="9"/>
  <c r="F1077" i="9"/>
  <c r="I1074" i="9"/>
  <c r="C1045" i="9"/>
  <c r="I1041" i="9"/>
  <c r="I1006" i="9"/>
  <c r="I970" i="9"/>
  <c r="I928" i="9"/>
  <c r="I896" i="9"/>
  <c r="I857" i="9"/>
  <c r="I819" i="9"/>
  <c r="I778" i="9"/>
  <c r="I744" i="9"/>
  <c r="I702" i="9"/>
  <c r="I669" i="9"/>
  <c r="I630" i="9"/>
  <c r="I592" i="9"/>
  <c r="I553" i="9"/>
  <c r="I515" i="9"/>
  <c r="I484" i="9"/>
  <c r="C1048" i="9"/>
  <c r="C1047" i="9"/>
  <c r="C1046" i="9"/>
  <c r="F1062" i="9"/>
  <c r="D1062" i="9"/>
  <c r="B1062" i="9"/>
  <c r="C1058" i="9"/>
  <c r="C1057" i="9"/>
  <c r="C1053" i="9"/>
  <c r="C1052" i="9"/>
  <c r="C1014" i="9"/>
  <c r="C1013" i="9"/>
  <c r="C1012" i="9"/>
  <c r="C1011" i="9"/>
  <c r="F1028" i="9"/>
  <c r="D1028" i="9"/>
  <c r="B1028" i="9"/>
  <c r="C1024" i="9"/>
  <c r="C1023" i="9"/>
  <c r="C1019" i="9"/>
  <c r="C1018" i="9"/>
  <c r="F533" i="9"/>
  <c r="D533" i="9"/>
  <c r="B533" i="9"/>
  <c r="C530" i="9"/>
  <c r="C529" i="9"/>
  <c r="C525" i="9"/>
  <c r="C524" i="9"/>
  <c r="C520" i="9"/>
  <c r="C519" i="9"/>
  <c r="C518" i="9"/>
  <c r="C489" i="9"/>
  <c r="C488" i="9"/>
  <c r="C487" i="9"/>
  <c r="C457" i="9"/>
  <c r="C456" i="9"/>
  <c r="C455" i="9"/>
  <c r="C449" i="9"/>
  <c r="C448" i="9"/>
  <c r="C387" i="9"/>
  <c r="C413" i="9"/>
  <c r="C412" i="9"/>
  <c r="C411" i="9"/>
  <c r="F505" i="9"/>
  <c r="D505" i="9"/>
  <c r="B505" i="9"/>
  <c r="C499" i="9"/>
  <c r="C498" i="9"/>
  <c r="C494" i="9"/>
  <c r="C493" i="9"/>
  <c r="F472" i="9"/>
  <c r="D472" i="9"/>
  <c r="B472" i="9"/>
  <c r="C467" i="9"/>
  <c r="B467" i="9"/>
  <c r="C466" i="9"/>
  <c r="C462" i="9"/>
  <c r="C461" i="9"/>
  <c r="F449" i="9"/>
  <c r="F448" i="9"/>
  <c r="I444" i="9"/>
  <c r="F433" i="9"/>
  <c r="D433" i="9"/>
  <c r="B433" i="9"/>
  <c r="C428" i="9"/>
  <c r="B428" i="9"/>
  <c r="C427" i="9"/>
  <c r="F413" i="9"/>
  <c r="F412" i="9"/>
  <c r="F411" i="9"/>
  <c r="I407" i="9"/>
  <c r="I257" i="9"/>
  <c r="C982" i="9"/>
  <c r="C981" i="9"/>
  <c r="C980" i="9"/>
  <c r="C979" i="9"/>
  <c r="C943" i="9"/>
  <c r="C942" i="9"/>
  <c r="C941" i="9"/>
  <c r="C940" i="9"/>
  <c r="C933" i="9"/>
  <c r="C905" i="9"/>
  <c r="C904" i="9"/>
  <c r="C869" i="9"/>
  <c r="C868" i="9"/>
  <c r="C867" i="9"/>
  <c r="C866" i="9"/>
  <c r="C829" i="9"/>
  <c r="C828" i="9"/>
  <c r="C827" i="9"/>
  <c r="C826" i="9"/>
  <c r="C792" i="9"/>
  <c r="C791" i="9"/>
  <c r="C790" i="9"/>
  <c r="C789" i="9"/>
  <c r="F996" i="9"/>
  <c r="D996" i="9"/>
  <c r="B996" i="9"/>
  <c r="C992" i="9"/>
  <c r="C991" i="9"/>
  <c r="C987" i="9"/>
  <c r="C986" i="9"/>
  <c r="F974" i="9"/>
  <c r="C974" i="9"/>
  <c r="F973" i="9"/>
  <c r="C973" i="9"/>
  <c r="F958" i="9"/>
  <c r="D958" i="9"/>
  <c r="B958" i="9"/>
  <c r="C953" i="9"/>
  <c r="C952" i="9"/>
  <c r="C948" i="9"/>
  <c r="C947" i="9"/>
  <c r="F935" i="9"/>
  <c r="C935" i="9"/>
  <c r="F934" i="9"/>
  <c r="C934" i="9"/>
  <c r="F933" i="9"/>
  <c r="F918" i="9"/>
  <c r="D918" i="9"/>
  <c r="B918" i="9"/>
  <c r="C913" i="9"/>
  <c r="B913" i="9"/>
  <c r="C912" i="9"/>
  <c r="C909" i="9"/>
  <c r="B909" i="9"/>
  <c r="C908" i="9"/>
  <c r="F900" i="9"/>
  <c r="C900" i="9"/>
  <c r="F899" i="9"/>
  <c r="C899" i="9"/>
  <c r="F884" i="9"/>
  <c r="D884" i="9"/>
  <c r="B884" i="9"/>
  <c r="C880" i="9"/>
  <c r="C879" i="9"/>
  <c r="C875" i="9"/>
  <c r="B875" i="9"/>
  <c r="C874" i="9"/>
  <c r="F862" i="9"/>
  <c r="C862" i="9"/>
  <c r="F861" i="9"/>
  <c r="C861" i="9"/>
  <c r="F860" i="9"/>
  <c r="C860" i="9"/>
  <c r="F842" i="9"/>
  <c r="D842" i="9"/>
  <c r="B842" i="9"/>
  <c r="C837" i="9"/>
  <c r="B837" i="9"/>
  <c r="C836" i="9"/>
  <c r="C833" i="9"/>
  <c r="B833" i="9"/>
  <c r="C832" i="9"/>
  <c r="F823" i="9"/>
  <c r="C823" i="9"/>
  <c r="F822" i="9"/>
  <c r="C822" i="9"/>
  <c r="F807" i="9"/>
  <c r="D807" i="9"/>
  <c r="B807" i="9"/>
  <c r="C803" i="9"/>
  <c r="C802" i="9"/>
  <c r="C798" i="9"/>
  <c r="B798" i="9"/>
  <c r="C797" i="9"/>
  <c r="F785" i="9"/>
  <c r="C785" i="9"/>
  <c r="F784" i="9"/>
  <c r="C784" i="9"/>
  <c r="F783" i="9"/>
  <c r="C783" i="9"/>
  <c r="C756" i="9"/>
  <c r="C755" i="9"/>
  <c r="C754" i="9"/>
  <c r="C753" i="9"/>
  <c r="C717" i="9"/>
  <c r="C716" i="9"/>
  <c r="C715" i="9"/>
  <c r="C714" i="9"/>
  <c r="F707" i="9"/>
  <c r="C708" i="9"/>
  <c r="C707" i="9"/>
  <c r="F770" i="9"/>
  <c r="D770" i="9"/>
  <c r="B770" i="9"/>
  <c r="C766" i="9"/>
  <c r="C765" i="9"/>
  <c r="C761" i="9"/>
  <c r="C760" i="9"/>
  <c r="F748" i="9"/>
  <c r="C748" i="9"/>
  <c r="F747" i="9"/>
  <c r="C747" i="9"/>
  <c r="F732" i="9"/>
  <c r="D732" i="9"/>
  <c r="B732" i="9"/>
  <c r="C727" i="9"/>
  <c r="C726" i="9"/>
  <c r="C722" i="9"/>
  <c r="C721" i="9"/>
  <c r="F709" i="9"/>
  <c r="C709" i="9"/>
  <c r="F708" i="9"/>
  <c r="C679" i="9"/>
  <c r="C678" i="9"/>
  <c r="C677" i="9"/>
  <c r="C676" i="9"/>
  <c r="C642" i="9"/>
  <c r="C641" i="9"/>
  <c r="C640" i="9"/>
  <c r="C639" i="9"/>
  <c r="F692" i="9"/>
  <c r="D692" i="9"/>
  <c r="B692" i="9"/>
  <c r="C687" i="9"/>
  <c r="B687" i="9"/>
  <c r="C686" i="9"/>
  <c r="C683" i="9"/>
  <c r="B683" i="9"/>
  <c r="C682" i="9"/>
  <c r="F673" i="9"/>
  <c r="C673" i="9"/>
  <c r="F672" i="9"/>
  <c r="C672" i="9"/>
  <c r="F657" i="9"/>
  <c r="D657" i="9"/>
  <c r="B657" i="9"/>
  <c r="C653" i="9"/>
  <c r="C652" i="9"/>
  <c r="C648" i="9"/>
  <c r="B648" i="9"/>
  <c r="C647" i="9"/>
  <c r="F635" i="9"/>
  <c r="C635" i="9"/>
  <c r="F634" i="9"/>
  <c r="C634" i="9"/>
  <c r="F633" i="9"/>
  <c r="C633" i="9"/>
  <c r="C602" i="9"/>
  <c r="C601" i="9"/>
  <c r="C600" i="9"/>
  <c r="C599" i="9"/>
  <c r="C565" i="9"/>
  <c r="C564" i="9"/>
  <c r="C563" i="9"/>
  <c r="C562" i="9"/>
  <c r="F615" i="9"/>
  <c r="D615" i="9"/>
  <c r="B615" i="9"/>
  <c r="C610" i="9"/>
  <c r="B610" i="9"/>
  <c r="C609" i="9"/>
  <c r="C606" i="9"/>
  <c r="B606" i="9"/>
  <c r="C605" i="9"/>
  <c r="F596" i="9"/>
  <c r="C596" i="9"/>
  <c r="F595" i="9"/>
  <c r="C595" i="9"/>
  <c r="F580" i="9"/>
  <c r="D580" i="9"/>
  <c r="B580" i="9"/>
  <c r="C576" i="9"/>
  <c r="C575" i="9"/>
  <c r="C571" i="9"/>
  <c r="B571" i="9"/>
  <c r="C570" i="9"/>
  <c r="F558" i="9"/>
  <c r="C558" i="9"/>
  <c r="F557" i="9"/>
  <c r="C557" i="9"/>
  <c r="F556" i="9"/>
  <c r="C556" i="9"/>
  <c r="F398" i="9"/>
  <c r="D398" i="9"/>
  <c r="B398" i="9"/>
  <c r="C393" i="9"/>
  <c r="C392" i="9"/>
  <c r="C388" i="9"/>
  <c r="C380" i="9"/>
  <c r="C379" i="9"/>
  <c r="I376" i="9"/>
  <c r="F284" i="9"/>
  <c r="D284" i="9"/>
  <c r="B284" i="9"/>
  <c r="C279" i="9"/>
  <c r="C278" i="9"/>
  <c r="C274" i="9"/>
  <c r="C273" i="9"/>
  <c r="C269" i="9"/>
  <c r="C268" i="9"/>
  <c r="C267" i="9"/>
  <c r="C263" i="9"/>
  <c r="C262" i="9"/>
  <c r="C261" i="9"/>
  <c r="F244" i="9"/>
  <c r="D244" i="9"/>
  <c r="B244" i="9"/>
  <c r="C234" i="9"/>
  <c r="C233" i="9"/>
  <c r="I231" i="9"/>
  <c r="I228" i="9"/>
  <c r="F212" i="9"/>
  <c r="D212" i="9"/>
  <c r="B212" i="9"/>
  <c r="C208" i="9"/>
  <c r="C207" i="9"/>
  <c r="C203" i="9"/>
  <c r="C202" i="9"/>
  <c r="C198" i="9"/>
  <c r="C197" i="9"/>
  <c r="C196" i="9"/>
  <c r="I193" i="9"/>
  <c r="F181" i="9"/>
  <c r="D181" i="9"/>
  <c r="B181" i="9"/>
  <c r="C178" i="9"/>
  <c r="C177" i="9"/>
  <c r="C173" i="9"/>
  <c r="C172" i="9"/>
  <c r="C165" i="9"/>
  <c r="C164" i="9"/>
  <c r="I161" i="9"/>
  <c r="F146" i="9"/>
  <c r="D146" i="9"/>
  <c r="B146" i="9"/>
  <c r="C143" i="9"/>
  <c r="C142" i="9"/>
  <c r="C138" i="9"/>
  <c r="C137" i="9"/>
  <c r="C136" i="9"/>
  <c r="C131" i="9"/>
  <c r="C130" i="9"/>
  <c r="C129" i="9"/>
  <c r="C128" i="9"/>
  <c r="C127" i="9"/>
  <c r="C126" i="9"/>
  <c r="I123" i="9"/>
  <c r="F112" i="9"/>
  <c r="D112" i="9"/>
  <c r="B112" i="9"/>
  <c r="C108" i="9"/>
  <c r="C107" i="9"/>
  <c r="C103" i="9"/>
  <c r="C102" i="9"/>
  <c r="C97" i="9"/>
  <c r="C96" i="9"/>
  <c r="C95" i="9"/>
  <c r="C94" i="9"/>
  <c r="C93" i="9"/>
  <c r="C92" i="9"/>
  <c r="I89" i="9"/>
  <c r="F76" i="9"/>
  <c r="D76" i="9"/>
  <c r="B76" i="9"/>
  <c r="C71" i="9"/>
  <c r="C70" i="9"/>
  <c r="C66" i="9"/>
  <c r="C65" i="9"/>
  <c r="C60" i="9"/>
  <c r="C59" i="9"/>
  <c r="C58" i="9"/>
  <c r="C57" i="9"/>
  <c r="C56" i="9"/>
  <c r="C55" i="9"/>
  <c r="C54" i="9"/>
  <c r="C53" i="9"/>
  <c r="C52" i="9"/>
  <c r="I49" i="9"/>
  <c r="F36" i="9"/>
  <c r="D36" i="9"/>
  <c r="B36" i="9"/>
  <c r="C31" i="9"/>
  <c r="C30" i="9"/>
  <c r="C26" i="9"/>
  <c r="C25" i="9"/>
  <c r="C20" i="9"/>
  <c r="C19" i="9"/>
  <c r="C18" i="9"/>
  <c r="C17" i="9"/>
  <c r="C16" i="9"/>
  <c r="C15" i="9"/>
  <c r="C14" i="9"/>
  <c r="I11" i="9"/>
  <c r="H11" i="9"/>
  <c r="C619" i="4"/>
  <c r="C618" i="4"/>
  <c r="C521" i="4"/>
  <c r="C520" i="4"/>
  <c r="C519" i="4"/>
  <c r="C518" i="4"/>
  <c r="F535" i="4"/>
  <c r="D535" i="4"/>
  <c r="B535" i="4"/>
  <c r="C532" i="4"/>
  <c r="C531" i="4"/>
  <c r="C527" i="4"/>
  <c r="B527" i="4"/>
  <c r="C526" i="4"/>
  <c r="F514" i="4"/>
  <c r="C514" i="4"/>
  <c r="F513" i="4"/>
  <c r="C513" i="4"/>
  <c r="F512" i="4"/>
  <c r="C512" i="4"/>
  <c r="B512" i="4"/>
  <c r="I509" i="4"/>
  <c r="H509" i="4"/>
  <c r="C557" i="4"/>
  <c r="C556" i="4"/>
  <c r="C555" i="4"/>
  <c r="C554" i="4"/>
  <c r="C553" i="4"/>
  <c r="F568" i="4"/>
  <c r="D568" i="4"/>
  <c r="B568" i="4"/>
  <c r="C565" i="4"/>
  <c r="B565" i="4"/>
  <c r="C564" i="4"/>
  <c r="C561" i="4"/>
  <c r="B561" i="4"/>
  <c r="C560" i="4"/>
  <c r="F550" i="4"/>
  <c r="C550" i="4"/>
  <c r="F549" i="4"/>
  <c r="C549" i="4"/>
  <c r="I544" i="4"/>
  <c r="H544" i="4"/>
  <c r="C326" i="4"/>
  <c r="C325" i="4"/>
  <c r="C165" i="4"/>
  <c r="C164" i="4"/>
  <c r="F342" i="4"/>
  <c r="D342" i="4"/>
  <c r="B342" i="4"/>
  <c r="C339" i="4"/>
  <c r="C338" i="4"/>
  <c r="C334" i="4"/>
  <c r="C333" i="4"/>
  <c r="I322" i="4"/>
  <c r="H322" i="4"/>
  <c r="C16" i="4"/>
  <c r="C59" i="4"/>
  <c r="C97" i="4"/>
  <c r="C127" i="4"/>
  <c r="C197" i="4"/>
  <c r="C265" i="4"/>
  <c r="C625" i="4"/>
  <c r="F24" i="7"/>
  <c r="F50" i="6"/>
  <c r="C663" i="4"/>
  <c r="C662" i="4"/>
  <c r="C661" i="4"/>
  <c r="F676" i="4"/>
  <c r="D676" i="4"/>
  <c r="B676" i="4"/>
  <c r="H675" i="4"/>
  <c r="H677" i="4" s="1"/>
  <c r="C673" i="4"/>
  <c r="C672" i="4"/>
  <c r="C668" i="4"/>
  <c r="C667" i="4"/>
  <c r="F47" i="7"/>
  <c r="H309" i="4"/>
  <c r="H311" i="4" s="1"/>
  <c r="C297" i="4"/>
  <c r="C296" i="4"/>
  <c r="C266" i="4"/>
  <c r="C295" i="4"/>
  <c r="F310" i="4"/>
  <c r="D310" i="4"/>
  <c r="B310" i="4"/>
  <c r="C307" i="4"/>
  <c r="C306" i="4"/>
  <c r="C302" i="4"/>
  <c r="C301" i="4"/>
  <c r="H1020" i="9" l="1"/>
  <c r="H572" i="9"/>
  <c r="H1315" i="9"/>
  <c r="H649" i="9"/>
  <c r="H1092" i="9"/>
  <c r="H1240" i="9"/>
  <c r="H988" i="9"/>
  <c r="H723" i="9"/>
  <c r="H876" i="9"/>
  <c r="H1463" i="9"/>
  <c r="H1054" i="9"/>
  <c r="H1501" i="9"/>
  <c r="H949" i="9"/>
  <c r="H762" i="9"/>
  <c r="H799" i="9"/>
  <c r="H1231" i="9"/>
  <c r="H1167" i="9"/>
  <c r="H1390" i="9"/>
  <c r="G135" i="5"/>
  <c r="H158" i="19"/>
  <c r="I158" i="19" s="1"/>
  <c r="K158" i="19" s="1"/>
  <c r="L158" i="19" s="1"/>
  <c r="M158" i="19" s="1"/>
  <c r="N158" i="19" s="1"/>
  <c r="H135" i="19"/>
  <c r="I135" i="19" s="1"/>
  <c r="K135" i="19" s="1"/>
  <c r="L135" i="19" s="1"/>
  <c r="M135" i="19" s="1"/>
  <c r="N135" i="19" s="1"/>
  <c r="I159" i="19"/>
  <c r="K159" i="19" s="1"/>
  <c r="L159" i="19" s="1"/>
  <c r="M159" i="19" s="1"/>
  <c r="N159" i="19" s="1"/>
  <c r="H159" i="19"/>
  <c r="G158" i="19"/>
  <c r="F157" i="17"/>
  <c r="H157" i="17" s="1"/>
  <c r="I157" i="17" s="1"/>
  <c r="K157" i="17" s="1"/>
  <c r="L157" i="17" s="1"/>
  <c r="M157" i="17" s="1"/>
  <c r="N157" i="17" s="1"/>
  <c r="F158" i="17"/>
  <c r="H158" i="17" s="1"/>
  <c r="I158" i="17" s="1"/>
  <c r="K158" i="17" s="1"/>
  <c r="L158" i="17" s="1"/>
  <c r="M158" i="17" s="1"/>
  <c r="N158" i="17" s="1"/>
  <c r="I128" i="9"/>
  <c r="J128" i="9" s="1"/>
  <c r="F159" i="17"/>
  <c r="G159" i="17" s="1"/>
  <c r="F157" i="18"/>
  <c r="G157" i="18" s="1"/>
  <c r="I54" i="9"/>
  <c r="F158" i="18"/>
  <c r="G158" i="18" s="1"/>
  <c r="I96" i="9"/>
  <c r="J96" i="9" s="1"/>
  <c r="G159" i="18"/>
  <c r="H159" i="18"/>
  <c r="I159" i="18" s="1"/>
  <c r="K159" i="18" s="1"/>
  <c r="L159" i="18" s="1"/>
  <c r="M159" i="18" s="1"/>
  <c r="N159" i="18" s="1"/>
  <c r="H135" i="18"/>
  <c r="I135" i="18" s="1"/>
  <c r="K135" i="18" s="1"/>
  <c r="L135" i="18" s="1"/>
  <c r="M135" i="18" s="1"/>
  <c r="N135" i="18" s="1"/>
  <c r="H135" i="17"/>
  <c r="I135" i="17" s="1"/>
  <c r="K135" i="17" s="1"/>
  <c r="L135" i="17" s="1"/>
  <c r="M135" i="17" s="1"/>
  <c r="N135" i="17" s="1"/>
  <c r="I303" i="9"/>
  <c r="I16" i="9"/>
  <c r="J16" i="9" s="1"/>
  <c r="I661" i="4"/>
  <c r="I455" i="9"/>
  <c r="J455" i="9" s="1"/>
  <c r="I267" i="9"/>
  <c r="J267" i="9" s="1"/>
  <c r="I487" i="9"/>
  <c r="I196" i="9"/>
  <c r="J196" i="9" s="1"/>
  <c r="I1454" i="9"/>
  <c r="I1231" i="9"/>
  <c r="I56" i="13"/>
  <c r="J56" i="13" s="1"/>
  <c r="I120" i="13"/>
  <c r="J120" i="13" s="1"/>
  <c r="I338" i="9"/>
  <c r="I1270" i="9"/>
  <c r="L135" i="5"/>
  <c r="M135" i="5" s="1"/>
  <c r="N135" i="5" s="1"/>
  <c r="I13" i="14"/>
  <c r="I15" i="14" s="1"/>
  <c r="I17" i="14" s="1"/>
  <c r="F27" i="6"/>
  <c r="D14" i="19" l="1"/>
  <c r="E14" i="19" s="1"/>
  <c r="D14" i="5"/>
  <c r="E14" i="5" s="1"/>
  <c r="D14" i="17"/>
  <c r="E14" i="17" s="1"/>
  <c r="D14" i="18"/>
  <c r="E14" i="18" s="1"/>
  <c r="D37" i="17"/>
  <c r="E37" i="17" s="1"/>
  <c r="D37" i="18"/>
  <c r="E37" i="18" s="1"/>
  <c r="D37" i="19"/>
  <c r="E37" i="19" s="1"/>
  <c r="D37" i="5"/>
  <c r="E37" i="5" s="1"/>
  <c r="D21" i="18"/>
  <c r="E21" i="18" s="1"/>
  <c r="D21" i="19"/>
  <c r="E21" i="19" s="1"/>
  <c r="D21" i="17"/>
  <c r="E21" i="17" s="1"/>
  <c r="D21" i="5"/>
  <c r="E21" i="5" s="1"/>
  <c r="D20" i="5"/>
  <c r="E20" i="5" s="1"/>
  <c r="D20" i="18"/>
  <c r="E20" i="18" s="1"/>
  <c r="D20" i="19"/>
  <c r="E20" i="19" s="1"/>
  <c r="D20" i="17"/>
  <c r="E20" i="17" s="1"/>
  <c r="D26" i="18"/>
  <c r="E26" i="18" s="1"/>
  <c r="D26" i="5"/>
  <c r="E26" i="5" s="1"/>
  <c r="D26" i="19"/>
  <c r="E26" i="19" s="1"/>
  <c r="D26" i="17"/>
  <c r="E26" i="17" s="1"/>
  <c r="H159" i="17"/>
  <c r="I159" i="17" s="1"/>
  <c r="K159" i="17" s="1"/>
  <c r="L159" i="17" s="1"/>
  <c r="M159" i="17" s="1"/>
  <c r="N159" i="17" s="1"/>
  <c r="K16" i="9"/>
  <c r="H157" i="18"/>
  <c r="I157" i="18" s="1"/>
  <c r="K157" i="18" s="1"/>
  <c r="L157" i="18" s="1"/>
  <c r="M157" i="18" s="1"/>
  <c r="N157" i="18" s="1"/>
  <c r="G157" i="17"/>
  <c r="G158" i="17"/>
  <c r="H158" i="18"/>
  <c r="I158" i="18" s="1"/>
  <c r="K158" i="18" s="1"/>
  <c r="L158" i="18" s="1"/>
  <c r="M158" i="18" s="1"/>
  <c r="N158" i="18" s="1"/>
  <c r="F129" i="1"/>
  <c r="F131" i="1" s="1"/>
  <c r="Q58" i="7"/>
  <c r="Q32" i="7"/>
  <c r="P35" i="7"/>
  <c r="Q35" i="7" s="1"/>
  <c r="Q56" i="6"/>
  <c r="P35" i="6"/>
  <c r="Q36" i="7"/>
  <c r="P31" i="7"/>
  <c r="Q31" i="7" s="1"/>
  <c r="P39" i="6"/>
  <c r="Q60" i="6"/>
  <c r="O141" i="1"/>
  <c r="O142" i="1"/>
  <c r="O143" i="1"/>
  <c r="O140" i="1"/>
  <c r="H707" i="9" l="1"/>
  <c r="H633" i="9"/>
  <c r="H933" i="9"/>
  <c r="H860" i="9"/>
  <c r="H783" i="9"/>
  <c r="H556" i="9"/>
  <c r="D35" i="5"/>
  <c r="E35" i="5" s="1"/>
  <c r="D35" i="17"/>
  <c r="E35" i="17" s="1"/>
  <c r="D35" i="19"/>
  <c r="E35" i="19" s="1"/>
  <c r="D35" i="18"/>
  <c r="E35" i="18" s="1"/>
  <c r="D24" i="17"/>
  <c r="E24" i="17" s="1"/>
  <c r="D24" i="19"/>
  <c r="E24" i="19" s="1"/>
  <c r="D24" i="18"/>
  <c r="E24" i="18" s="1"/>
  <c r="D24" i="5"/>
  <c r="E24" i="5" s="1"/>
  <c r="D19" i="17"/>
  <c r="E19" i="17" s="1"/>
  <c r="D19" i="5"/>
  <c r="E19" i="5" s="1"/>
  <c r="D19" i="18"/>
  <c r="E19" i="18" s="1"/>
  <c r="D19" i="19"/>
  <c r="E19" i="19" s="1"/>
  <c r="D29" i="17"/>
  <c r="E29" i="17" s="1"/>
  <c r="D29" i="18"/>
  <c r="E29" i="18" s="1"/>
  <c r="D29" i="19"/>
  <c r="E29" i="19" s="1"/>
  <c r="D29" i="5"/>
  <c r="E29" i="5" s="1"/>
  <c r="D33" i="18"/>
  <c r="E33" i="18" s="1"/>
  <c r="D33" i="19"/>
  <c r="E33" i="19" s="1"/>
  <c r="D33" i="5"/>
  <c r="E33" i="5" s="1"/>
  <c r="D33" i="17"/>
  <c r="E33" i="17" s="1"/>
  <c r="D31" i="5"/>
  <c r="E31" i="5" s="1"/>
  <c r="D31" i="18"/>
  <c r="E31" i="18" s="1"/>
  <c r="D31" i="19"/>
  <c r="E31" i="19" s="1"/>
  <c r="D31" i="17"/>
  <c r="E31" i="17" s="1"/>
  <c r="D16" i="17"/>
  <c r="E16" i="17" s="1"/>
  <c r="D16" i="18"/>
  <c r="E16" i="18" s="1"/>
  <c r="D16" i="5"/>
  <c r="E16" i="5" s="1"/>
  <c r="D16" i="19"/>
  <c r="E16" i="19" s="1"/>
  <c r="D25" i="17"/>
  <c r="E25" i="17" s="1"/>
  <c r="D25" i="5"/>
  <c r="E25" i="5" s="1"/>
  <c r="D25" i="18"/>
  <c r="E25" i="18" s="1"/>
  <c r="D25" i="19"/>
  <c r="E25" i="19" s="1"/>
  <c r="D10" i="18"/>
  <c r="E10" i="18" s="1"/>
  <c r="D10" i="19"/>
  <c r="E10" i="19" s="1"/>
  <c r="D10" i="17"/>
  <c r="E10" i="17" s="1"/>
  <c r="D10" i="5"/>
  <c r="E10" i="5" s="1"/>
  <c r="D12" i="18"/>
  <c r="E12" i="18" s="1"/>
  <c r="D12" i="19"/>
  <c r="E12" i="19" s="1"/>
  <c r="D12" i="17"/>
  <c r="E12" i="17" s="1"/>
  <c r="D12" i="5"/>
  <c r="E12" i="5" s="1"/>
  <c r="I261" i="9"/>
  <c r="I512" i="4"/>
  <c r="I556" i="9"/>
  <c r="I707" i="9"/>
  <c r="I633" i="9"/>
  <c r="I48" i="15"/>
  <c r="I783" i="9"/>
  <c r="I860" i="9"/>
  <c r="I933" i="9"/>
  <c r="I8" i="15"/>
  <c r="O8" i="1"/>
  <c r="K113" i="1"/>
  <c r="M84" i="1"/>
  <c r="N84" i="1" s="1"/>
  <c r="O84" i="1" s="1"/>
  <c r="P84" i="1" s="1"/>
  <c r="F90" i="1" s="1"/>
  <c r="I73" i="14" s="1"/>
  <c r="M85" i="1"/>
  <c r="N85" i="1" s="1"/>
  <c r="O85" i="1" s="1"/>
  <c r="P85" i="1" s="1"/>
  <c r="F91" i="1" s="1"/>
  <c r="I74" i="14" s="1"/>
  <c r="G73" i="1"/>
  <c r="H1486" i="4"/>
  <c r="H1442" i="4"/>
  <c r="H1405" i="4"/>
  <c r="H1368" i="4"/>
  <c r="H1331" i="4"/>
  <c r="H1294" i="4"/>
  <c r="H1259" i="4"/>
  <c r="H1224" i="4"/>
  <c r="H1187" i="4"/>
  <c r="H1150" i="4"/>
  <c r="H1121" i="4"/>
  <c r="H1092" i="4"/>
  <c r="H1050" i="4"/>
  <c r="H1012" i="4"/>
  <c r="H978" i="4"/>
  <c r="H938" i="4"/>
  <c r="H918" i="4"/>
  <c r="H910" i="4"/>
  <c r="H876" i="4"/>
  <c r="H826" i="4"/>
  <c r="H779" i="4"/>
  <c r="H736" i="4"/>
  <c r="H693" i="4"/>
  <c r="H614" i="4"/>
  <c r="H580" i="4"/>
  <c r="H475" i="4"/>
  <c r="H436" i="4"/>
  <c r="H401" i="4"/>
  <c r="H361" i="4"/>
  <c r="H287" i="4"/>
  <c r="H255" i="4"/>
  <c r="H228" i="4"/>
  <c r="H194" i="4"/>
  <c r="H161" i="4"/>
  <c r="H122" i="4"/>
  <c r="H90" i="4"/>
  <c r="H54" i="4"/>
  <c r="H11" i="4"/>
  <c r="M183" i="7"/>
  <c r="M182" i="7"/>
  <c r="M164" i="7"/>
  <c r="M36" i="7"/>
  <c r="M32" i="7"/>
  <c r="M165" i="6"/>
  <c r="E4" i="19" l="1"/>
  <c r="D4" i="19"/>
  <c r="D4" i="17"/>
  <c r="E4" i="18"/>
  <c r="D4" i="18"/>
  <c r="E4" i="17"/>
  <c r="I2097" i="4"/>
  <c r="I1567" i="4" l="1"/>
  <c r="I1568" i="4" s="1"/>
  <c r="C1409" i="4"/>
  <c r="C966" i="4" l="1"/>
  <c r="C965" i="4"/>
  <c r="C1040" i="4"/>
  <c r="C1039" i="4"/>
  <c r="C1077" i="4" l="1"/>
  <c r="C1078" i="4"/>
  <c r="C1563" i="4" l="1"/>
  <c r="C1562" i="4"/>
  <c r="C1564" i="4"/>
  <c r="I1564" i="4" s="1"/>
  <c r="M81" i="1"/>
  <c r="N81" i="1" l="1"/>
  <c r="O81" i="1" s="1"/>
  <c r="C1378" i="4"/>
  <c r="C1372" i="4"/>
  <c r="C1336" i="4"/>
  <c r="C1299" i="4"/>
  <c r="C1233" i="4"/>
  <c r="C1160" i="4"/>
  <c r="E924" i="4"/>
  <c r="C880" i="4"/>
  <c r="C882" i="4"/>
  <c r="C881" i="4"/>
  <c r="C591" i="4"/>
  <c r="B418" i="4"/>
  <c r="B364" i="4"/>
  <c r="P81" i="1" l="1"/>
  <c r="C892" i="4"/>
  <c r="F831" i="4"/>
  <c r="C831" i="4"/>
  <c r="C832" i="4"/>
  <c r="F697" i="4" l="1"/>
  <c r="F619" i="4"/>
  <c r="F618" i="4"/>
  <c r="F585" i="4"/>
  <c r="C260" i="4"/>
  <c r="C259" i="4"/>
  <c r="F785" i="4"/>
  <c r="F786" i="4"/>
  <c r="C785" i="4"/>
  <c r="C740" i="4"/>
  <c r="C698" i="4"/>
  <c r="C586" i="4"/>
  <c r="C585" i="4"/>
  <c r="C584" i="4"/>
  <c r="F586" i="4"/>
  <c r="F584" i="4"/>
  <c r="C841" i="4"/>
  <c r="C798" i="4"/>
  <c r="C703" i="4"/>
  <c r="C631" i="4"/>
  <c r="C410" i="4"/>
  <c r="C370" i="4"/>
  <c r="F145" i="4" l="1"/>
  <c r="C126" i="4"/>
  <c r="C93" i="4"/>
  <c r="C1686" i="4" l="1"/>
  <c r="F1700" i="4"/>
  <c r="D1700" i="4"/>
  <c r="B1700" i="4"/>
  <c r="C1696" i="4"/>
  <c r="C1695" i="4"/>
  <c r="C1691" i="4"/>
  <c r="C1690" i="4"/>
  <c r="I1682" i="4"/>
  <c r="Q109" i="1"/>
  <c r="L109" i="1"/>
  <c r="N56" i="6" l="1"/>
  <c r="Q35" i="6"/>
  <c r="Q39" i="6"/>
  <c r="H102" i="1"/>
  <c r="F104" i="1"/>
  <c r="H36" i="1"/>
  <c r="F206" i="5"/>
  <c r="K206" i="5" s="1"/>
  <c r="I259" i="4"/>
  <c r="F110" i="1"/>
  <c r="F111" i="1" s="1"/>
  <c r="H1466" i="9" l="1"/>
  <c r="H1426" i="9"/>
  <c r="H1504" i="9"/>
  <c r="H991" i="9"/>
  <c r="H952" i="9"/>
  <c r="H879" i="9"/>
  <c r="H726" i="9"/>
  <c r="H686" i="9"/>
  <c r="H652" i="9"/>
  <c r="H609" i="9"/>
  <c r="H912" i="9"/>
  <c r="H836" i="9"/>
  <c r="H802" i="9"/>
  <c r="H765" i="9"/>
  <c r="H575" i="9"/>
  <c r="H1023" i="9"/>
  <c r="H1351" i="9"/>
  <c r="H1318" i="9"/>
  <c r="H1095" i="9"/>
  <c r="H1057" i="9"/>
  <c r="H1393" i="9"/>
  <c r="H1282" i="9"/>
  <c r="H1243" i="9"/>
  <c r="H1128" i="9"/>
  <c r="H1203" i="9"/>
  <c r="H1170" i="9"/>
  <c r="I306" i="4"/>
  <c r="I49" i="14"/>
  <c r="I952" i="9"/>
  <c r="I879" i="9"/>
  <c r="I1426" i="9"/>
  <c r="I912" i="9"/>
  <c r="I1466" i="9"/>
  <c r="I726" i="9"/>
  <c r="I1170" i="9"/>
  <c r="I609" i="9"/>
  <c r="I100" i="13"/>
  <c r="I427" i="9"/>
  <c r="I141" i="15"/>
  <c r="I466" i="9"/>
  <c r="I30" i="9"/>
  <c r="I1057" i="9"/>
  <c r="I1504" i="9"/>
  <c r="I686" i="9"/>
  <c r="I1095" i="9"/>
  <c r="I765" i="9"/>
  <c r="I802" i="9"/>
  <c r="I252" i="15"/>
  <c r="I1203" i="9"/>
  <c r="I288" i="15"/>
  <c r="I314" i="9"/>
  <c r="I1243" i="9"/>
  <c r="I564" i="4"/>
  <c r="I836" i="9"/>
  <c r="I107" i="9"/>
  <c r="I1282" i="9"/>
  <c r="I177" i="9"/>
  <c r="I278" i="9"/>
  <c r="I70" i="9"/>
  <c r="I392" i="9"/>
  <c r="I143" i="14"/>
  <c r="I652" i="9"/>
  <c r="I28" i="13"/>
  <c r="I207" i="9"/>
  <c r="I991" i="9"/>
  <c r="I142" i="9"/>
  <c r="I349" i="9"/>
  <c r="I531" i="4"/>
  <c r="I1393" i="9"/>
  <c r="I1318" i="9"/>
  <c r="I178" i="15"/>
  <c r="I1023" i="9"/>
  <c r="I178" i="13"/>
  <c r="I575" i="9"/>
  <c r="I66" i="15"/>
  <c r="I1351" i="9"/>
  <c r="I672" i="4"/>
  <c r="I338" i="4"/>
  <c r="I215" i="15"/>
  <c r="I138" i="13"/>
  <c r="I110" i="14"/>
  <c r="I1128" i="9"/>
  <c r="I498" i="9"/>
  <c r="I529" i="9"/>
  <c r="I27" i="15"/>
  <c r="I69" i="13"/>
  <c r="I103" i="15"/>
  <c r="H21" i="1"/>
  <c r="F14" i="1" l="1"/>
  <c r="F1570" i="4" l="1"/>
  <c r="D1570" i="4"/>
  <c r="B1570" i="4"/>
  <c r="I1557" i="4"/>
  <c r="B14" i="8" l="1"/>
  <c r="B14" i="7"/>
  <c r="B50" i="6"/>
  <c r="D27" i="6"/>
  <c r="B27" i="6"/>
  <c r="B14" i="6"/>
  <c r="H104" i="1"/>
  <c r="H103" i="1"/>
  <c r="C98" i="4" l="1"/>
  <c r="C96" i="4"/>
  <c r="C95" i="4"/>
  <c r="C94" i="4"/>
  <c r="F112" i="4"/>
  <c r="D112" i="4"/>
  <c r="B112" i="4"/>
  <c r="C109" i="4"/>
  <c r="C108" i="4"/>
  <c r="C104" i="4"/>
  <c r="C103" i="4"/>
  <c r="I90" i="4"/>
  <c r="B47" i="7" l="1"/>
  <c r="B48" i="8"/>
  <c r="F48" i="8"/>
  <c r="G48" i="8"/>
  <c r="F21" i="1"/>
  <c r="H73" i="1"/>
  <c r="H72" i="1"/>
  <c r="H71" i="1"/>
  <c r="H70" i="1"/>
  <c r="I987" i="4" s="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F36" i="1"/>
  <c r="H35" i="1"/>
  <c r="H33" i="1"/>
  <c r="H32" i="1"/>
  <c r="H31" i="1"/>
  <c r="H30" i="1"/>
  <c r="H29" i="1"/>
  <c r="H28" i="1"/>
  <c r="H27" i="1"/>
  <c r="H26" i="1"/>
  <c r="H25" i="1"/>
  <c r="H24" i="1"/>
  <c r="H23" i="1"/>
  <c r="H1011" i="9" l="1"/>
  <c r="H1045" i="9"/>
  <c r="H940" i="9"/>
  <c r="H753" i="9"/>
  <c r="H714" i="9"/>
  <c r="H979" i="9"/>
  <c r="H1308" i="9"/>
  <c r="H1273" i="9"/>
  <c r="H1383" i="9"/>
  <c r="H1344" i="9"/>
  <c r="H1234" i="9"/>
  <c r="H1160" i="9"/>
  <c r="H1121" i="9"/>
  <c r="H1457" i="9"/>
  <c r="H1419" i="9"/>
  <c r="H1495" i="9"/>
  <c r="H717" i="9"/>
  <c r="H679" i="9"/>
  <c r="H642" i="9"/>
  <c r="H1196" i="9"/>
  <c r="H982" i="9"/>
  <c r="H943" i="9"/>
  <c r="H905" i="9"/>
  <c r="H869" i="9"/>
  <c r="H792" i="9"/>
  <c r="H756" i="9"/>
  <c r="H602" i="9"/>
  <c r="H829" i="9"/>
  <c r="H565" i="9"/>
  <c r="H1014" i="9"/>
  <c r="H1085" i="9"/>
  <c r="H1048" i="9"/>
  <c r="I381" i="9"/>
  <c r="J381" i="9" s="1"/>
  <c r="I327" i="4"/>
  <c r="J327" i="4" s="1"/>
  <c r="I166" i="9"/>
  <c r="J166" i="9" s="1"/>
  <c r="I100" i="14"/>
  <c r="I101" i="14" s="1"/>
  <c r="I165" i="13"/>
  <c r="J165" i="13" s="1"/>
  <c r="I134" i="14"/>
  <c r="I135" i="14" s="1"/>
  <c r="I418" i="9"/>
  <c r="J418" i="9" s="1"/>
  <c r="I663" i="4"/>
  <c r="I1234" i="9"/>
  <c r="I132" i="15"/>
  <c r="J132" i="15" s="1"/>
  <c r="I717" i="9"/>
  <c r="I340" i="9"/>
  <c r="I57" i="15"/>
  <c r="J57" i="15" s="1"/>
  <c r="I943" i="9"/>
  <c r="I206" i="15"/>
  <c r="J206" i="15" s="1"/>
  <c r="I602" i="9"/>
  <c r="J602" i="9" s="1"/>
  <c r="I829" i="9"/>
  <c r="I97" i="9"/>
  <c r="J97" i="9" s="1"/>
  <c r="I1048" i="9"/>
  <c r="I1383" i="9"/>
  <c r="I679" i="9"/>
  <c r="I1014" i="9"/>
  <c r="I1160" i="9"/>
  <c r="I1196" i="9"/>
  <c r="I18" i="9"/>
  <c r="I457" i="9"/>
  <c r="J457" i="9" s="1"/>
  <c r="I1457" i="9"/>
  <c r="I521" i="4"/>
  <c r="J521" i="4" s="1"/>
  <c r="I243" i="15"/>
  <c r="J243" i="15" s="1"/>
  <c r="I905" i="9"/>
  <c r="I56" i="9"/>
  <c r="J56" i="9" s="1"/>
  <c r="I269" i="9"/>
  <c r="J269" i="9" s="1"/>
  <c r="I1344" i="9"/>
  <c r="I279" i="15"/>
  <c r="J279" i="15" s="1"/>
  <c r="I1121" i="9"/>
  <c r="I94" i="15"/>
  <c r="J94" i="15" s="1"/>
  <c r="I1085" i="9"/>
  <c r="I1273" i="9"/>
  <c r="I1308" i="9"/>
  <c r="I869" i="9"/>
  <c r="I129" i="9"/>
  <c r="J129" i="9" s="1"/>
  <c r="I792" i="9"/>
  <c r="I565" i="9"/>
  <c r="J565" i="9" s="1"/>
  <c r="I489" i="9"/>
  <c r="I642" i="9"/>
  <c r="I198" i="9"/>
  <c r="J198" i="9" s="1"/>
  <c r="I756" i="9"/>
  <c r="I305" i="9"/>
  <c r="I18" i="15"/>
  <c r="J18" i="15" s="1"/>
  <c r="I1419" i="9"/>
  <c r="I40" i="14"/>
  <c r="J40" i="14" s="1"/>
  <c r="I982" i="9"/>
  <c r="I169" i="15"/>
  <c r="J169" i="15" s="1"/>
  <c r="I1495" i="9"/>
  <c r="I15" i="13"/>
  <c r="J15" i="13" s="1"/>
  <c r="I557" i="4"/>
  <c r="J557" i="4" s="1"/>
  <c r="I160" i="13"/>
  <c r="J160" i="13" s="1"/>
  <c r="I87" i="13"/>
  <c r="I10" i="13"/>
  <c r="J10" i="13" s="1"/>
  <c r="I275" i="15"/>
  <c r="I1011" i="9"/>
  <c r="I1045" i="9"/>
  <c r="I753" i="9"/>
  <c r="I129" i="15"/>
  <c r="I714" i="9"/>
  <c r="I979" i="9"/>
  <c r="I940" i="9"/>
  <c r="I202" i="15"/>
  <c r="I98" i="4"/>
  <c r="J98" i="4" s="1"/>
  <c r="I1059" i="4"/>
  <c r="I1016" i="4"/>
  <c r="I942" i="4"/>
  <c r="I1054" i="4"/>
  <c r="I231" i="4"/>
  <c r="J275" i="15" l="1"/>
  <c r="J129" i="15"/>
  <c r="J202" i="15"/>
  <c r="J18" i="9"/>
  <c r="K18" i="9"/>
  <c r="I1486" i="4"/>
  <c r="C1491" i="4"/>
  <c r="C1492" i="4"/>
  <c r="C1493" i="4"/>
  <c r="C1497" i="4"/>
  <c r="C1498" i="4"/>
  <c r="B1502" i="4"/>
  <c r="D1502" i="4"/>
  <c r="F1502" i="4"/>
  <c r="C199" i="4"/>
  <c r="C137" i="4"/>
  <c r="C130" i="4"/>
  <c r="C129" i="4"/>
  <c r="C125" i="4"/>
  <c r="C64" i="4" l="1"/>
  <c r="C60" i="4"/>
  <c r="C65" i="4"/>
  <c r="C63" i="4"/>
  <c r="C62" i="4"/>
  <c r="C61" i="4"/>
  <c r="C58" i="4"/>
  <c r="C57" i="4"/>
  <c r="C14" i="4" l="1"/>
  <c r="F162" i="6" l="1"/>
  <c r="F132" i="6"/>
  <c r="F95" i="6"/>
  <c r="F71" i="6"/>
  <c r="F45" i="6"/>
  <c r="F4" i="6"/>
  <c r="E4" i="5"/>
  <c r="F162" i="8"/>
  <c r="F132" i="8"/>
  <c r="F95" i="8"/>
  <c r="F69" i="8"/>
  <c r="F43" i="8"/>
  <c r="F4" i="8"/>
  <c r="F161" i="7"/>
  <c r="F131" i="7"/>
  <c r="F94" i="7"/>
  <c r="F68" i="7"/>
  <c r="F42" i="7"/>
  <c r="F4" i="7"/>
  <c r="F116" i="8"/>
  <c r="F118" i="8"/>
  <c r="F120" i="8"/>
  <c r="F122" i="8"/>
  <c r="F144" i="8"/>
  <c r="F146" i="8"/>
  <c r="F148" i="8"/>
  <c r="F149" i="8"/>
  <c r="F148" i="7"/>
  <c r="F147" i="7"/>
  <c r="F145" i="7"/>
  <c r="F143" i="7"/>
  <c r="F121" i="7"/>
  <c r="F119" i="7"/>
  <c r="F117" i="7"/>
  <c r="F115" i="7"/>
  <c r="F149" i="6"/>
  <c r="F148" i="6"/>
  <c r="F146" i="6"/>
  <c r="F144" i="6"/>
  <c r="F122" i="6"/>
  <c r="F120" i="6"/>
  <c r="F118" i="6"/>
  <c r="F116" i="6"/>
  <c r="F75" i="8"/>
  <c r="F74" i="7"/>
  <c r="F77" i="6" l="1"/>
  <c r="P113" i="1" l="1"/>
  <c r="P115" i="1" s="1"/>
  <c r="Q113" i="1"/>
  <c r="Q115" i="1" s="1"/>
  <c r="P119" i="1"/>
  <c r="P121" i="1" s="1"/>
  <c r="M88" i="1"/>
  <c r="N88" i="1" s="1"/>
  <c r="O88" i="1" s="1"/>
  <c r="M87" i="1"/>
  <c r="M86" i="1"/>
  <c r="N86" i="1" s="1"/>
  <c r="O86" i="1" s="1"/>
  <c r="M83" i="1"/>
  <c r="M82" i="1"/>
  <c r="N82" i="1" s="1"/>
  <c r="O82" i="1" s="1"/>
  <c r="M80" i="1"/>
  <c r="N80" i="1" s="1"/>
  <c r="M79" i="1"/>
  <c r="N79" i="1" s="1"/>
  <c r="I11" i="4"/>
  <c r="F4" i="19" s="1"/>
  <c r="H4" i="19" l="1"/>
  <c r="I4" i="19" s="1"/>
  <c r="G4" i="19"/>
  <c r="F4" i="18"/>
  <c r="F4" i="17"/>
  <c r="O79" i="1"/>
  <c r="P79" i="1" s="1"/>
  <c r="F83" i="1" s="1"/>
  <c r="N87" i="1"/>
  <c r="O87" i="1" s="1"/>
  <c r="R87" i="1"/>
  <c r="R86" i="1"/>
  <c r="N83" i="1"/>
  <c r="O83" i="1" s="1"/>
  <c r="G132" i="6"/>
  <c r="G71" i="6"/>
  <c r="G4" i="6"/>
  <c r="F4" i="5"/>
  <c r="G132" i="8"/>
  <c r="G69" i="8"/>
  <c r="G4" i="8"/>
  <c r="G131" i="7"/>
  <c r="G68" i="7"/>
  <c r="G4" i="7"/>
  <c r="G162" i="6"/>
  <c r="G95" i="6"/>
  <c r="G45" i="6"/>
  <c r="G162" i="8"/>
  <c r="G95" i="8"/>
  <c r="G43" i="8"/>
  <c r="G161" i="7"/>
  <c r="G94" i="7"/>
  <c r="G42" i="7"/>
  <c r="P122" i="1"/>
  <c r="P124" i="1" s="1"/>
  <c r="P126" i="1" s="1"/>
  <c r="F103" i="1" s="1"/>
  <c r="H4" i="17" l="1"/>
  <c r="I4" i="17" s="1"/>
  <c r="G4" i="17"/>
  <c r="G4" i="18"/>
  <c r="H4" i="18"/>
  <c r="I4" i="18" s="1"/>
  <c r="S79" i="1"/>
  <c r="R79" i="1"/>
  <c r="I42" i="7"/>
  <c r="J42" i="7" s="1"/>
  <c r="H42" i="7"/>
  <c r="I95" i="8"/>
  <c r="J95" i="8" s="1"/>
  <c r="H95" i="8"/>
  <c r="I69" i="8"/>
  <c r="J69" i="8" s="1"/>
  <c r="H69" i="8"/>
  <c r="I94" i="7"/>
  <c r="J94" i="7" s="1"/>
  <c r="H94" i="7"/>
  <c r="I162" i="8"/>
  <c r="J162" i="8" s="1"/>
  <c r="H162" i="8"/>
  <c r="I45" i="6"/>
  <c r="J45" i="6" s="1"/>
  <c r="H45" i="6"/>
  <c r="I68" i="7"/>
  <c r="J68" i="7" s="1"/>
  <c r="H68" i="7"/>
  <c r="I132" i="8"/>
  <c r="J132" i="8" s="1"/>
  <c r="H132" i="8"/>
  <c r="I4" i="6"/>
  <c r="J4" i="6" s="1"/>
  <c r="H4" i="6"/>
  <c r="I161" i="7"/>
  <c r="J161" i="7" s="1"/>
  <c r="H161" i="7"/>
  <c r="I95" i="6"/>
  <c r="J95" i="6" s="1"/>
  <c r="H95" i="6"/>
  <c r="I131" i="7"/>
  <c r="J131" i="7" s="1"/>
  <c r="H131" i="7"/>
  <c r="H4" i="5"/>
  <c r="I4" i="5" s="1"/>
  <c r="G4" i="5"/>
  <c r="I71" i="6"/>
  <c r="J71" i="6" s="1"/>
  <c r="H71" i="6"/>
  <c r="I43" i="8"/>
  <c r="J43" i="8" s="1"/>
  <c r="H43" i="8"/>
  <c r="I162" i="6"/>
  <c r="J162" i="6" s="1"/>
  <c r="H162" i="6"/>
  <c r="I4" i="8"/>
  <c r="J4" i="8" s="1"/>
  <c r="H4" i="8"/>
  <c r="I132" i="6"/>
  <c r="J132" i="6" s="1"/>
  <c r="H132" i="6"/>
  <c r="G188" i="8" l="1"/>
  <c r="G187" i="8"/>
  <c r="G186" i="8"/>
  <c r="G184" i="8"/>
  <c r="H184" i="8" s="1"/>
  <c r="G183" i="8"/>
  <c r="H183" i="8" s="1"/>
  <c r="G182" i="8"/>
  <c r="H182" i="8" s="1"/>
  <c r="G181" i="8"/>
  <c r="H181" i="8" s="1"/>
  <c r="D178" i="8"/>
  <c r="G177" i="8"/>
  <c r="H177" i="8" s="1"/>
  <c r="D176" i="8"/>
  <c r="G175" i="8"/>
  <c r="H175" i="8" s="1"/>
  <c r="D174" i="8"/>
  <c r="G173" i="8"/>
  <c r="H173" i="8" s="1"/>
  <c r="G171" i="8"/>
  <c r="H171" i="8" s="1"/>
  <c r="G169" i="8"/>
  <c r="H169" i="8" s="1"/>
  <c r="G166" i="8"/>
  <c r="H166" i="8" s="1"/>
  <c r="G165" i="8"/>
  <c r="H165" i="8" s="1"/>
  <c r="D162" i="8"/>
  <c r="I161" i="8"/>
  <c r="B138" i="8"/>
  <c r="D132" i="8"/>
  <c r="I131" i="8"/>
  <c r="B130" i="8"/>
  <c r="B126" i="8"/>
  <c r="B123" i="8"/>
  <c r="D120" i="8"/>
  <c r="B120" i="8"/>
  <c r="B119" i="8"/>
  <c r="D118" i="8"/>
  <c r="B118" i="8"/>
  <c r="B117" i="8"/>
  <c r="D116" i="8"/>
  <c r="B116" i="8"/>
  <c r="B115" i="8"/>
  <c r="N114" i="8"/>
  <c r="B114" i="8"/>
  <c r="B112" i="8"/>
  <c r="B110" i="8"/>
  <c r="B109" i="8"/>
  <c r="B108" i="8"/>
  <c r="B107" i="8"/>
  <c r="B106" i="8"/>
  <c r="B105" i="8"/>
  <c r="B104" i="8"/>
  <c r="B103" i="8"/>
  <c r="B102" i="8"/>
  <c r="B101" i="8"/>
  <c r="B100" i="8"/>
  <c r="B99" i="8"/>
  <c r="B97" i="8"/>
  <c r="D95" i="8"/>
  <c r="I94" i="8"/>
  <c r="B92" i="8"/>
  <c r="D90" i="8"/>
  <c r="B90" i="8"/>
  <c r="B89" i="8"/>
  <c r="B88" i="8"/>
  <c r="B84" i="8"/>
  <c r="B78" i="8"/>
  <c r="D75" i="8"/>
  <c r="B75" i="8"/>
  <c r="B71" i="8"/>
  <c r="D69" i="8"/>
  <c r="I68" i="8"/>
  <c r="B66" i="8"/>
  <c r="G64" i="8"/>
  <c r="D64" i="8"/>
  <c r="B64" i="8"/>
  <c r="G63" i="8"/>
  <c r="D63" i="8"/>
  <c r="B63" i="8"/>
  <c r="B62" i="8"/>
  <c r="B61" i="8"/>
  <c r="C59" i="8"/>
  <c r="B59" i="8"/>
  <c r="B57" i="8"/>
  <c r="B55" i="8"/>
  <c r="C53" i="8"/>
  <c r="C57" i="8" s="1"/>
  <c r="B53" i="8"/>
  <c r="B51" i="8"/>
  <c r="B50" i="8"/>
  <c r="B47" i="8"/>
  <c r="B46" i="8"/>
  <c r="B44" i="8"/>
  <c r="I42" i="8"/>
  <c r="B41" i="8"/>
  <c r="B38" i="8"/>
  <c r="B36" i="8"/>
  <c r="B34" i="8"/>
  <c r="B32" i="8"/>
  <c r="B30" i="8"/>
  <c r="B28" i="8"/>
  <c r="G25" i="8"/>
  <c r="D25" i="8"/>
  <c r="B25" i="8"/>
  <c r="B24" i="8"/>
  <c r="B23" i="8"/>
  <c r="B22" i="8"/>
  <c r="B20" i="8"/>
  <c r="B19" i="8"/>
  <c r="B18" i="8"/>
  <c r="B16" i="8"/>
  <c r="B12" i="8"/>
  <c r="B10" i="8"/>
  <c r="B8" i="8"/>
  <c r="E4" i="8"/>
  <c r="I3" i="8"/>
  <c r="G187" i="7"/>
  <c r="H187" i="7" s="1"/>
  <c r="G186" i="7"/>
  <c r="G185" i="7"/>
  <c r="G183" i="7"/>
  <c r="H183" i="7" s="1"/>
  <c r="G182" i="7"/>
  <c r="H182" i="7" s="1"/>
  <c r="G181" i="7"/>
  <c r="G180" i="7"/>
  <c r="D177" i="7"/>
  <c r="G176" i="7"/>
  <c r="H176" i="7" s="1"/>
  <c r="D175" i="7"/>
  <c r="G174" i="7"/>
  <c r="D173" i="7"/>
  <c r="G172" i="7"/>
  <c r="G170" i="7"/>
  <c r="G168" i="7"/>
  <c r="G165" i="7"/>
  <c r="H165" i="7" s="1"/>
  <c r="G164" i="7"/>
  <c r="D161" i="7"/>
  <c r="I160" i="7"/>
  <c r="B137" i="7"/>
  <c r="D131" i="7"/>
  <c r="I130" i="7"/>
  <c r="B129" i="7"/>
  <c r="B125" i="7"/>
  <c r="B122" i="7"/>
  <c r="D119" i="7"/>
  <c r="B119" i="7"/>
  <c r="B118" i="7"/>
  <c r="D117" i="7"/>
  <c r="B117" i="7"/>
  <c r="B116" i="7"/>
  <c r="D115" i="7"/>
  <c r="B115" i="7"/>
  <c r="B114" i="7"/>
  <c r="B113" i="7"/>
  <c r="B111" i="7"/>
  <c r="B109" i="7"/>
  <c r="B108" i="7"/>
  <c r="B107" i="7"/>
  <c r="B106" i="7"/>
  <c r="B105" i="7"/>
  <c r="B104" i="7"/>
  <c r="B103" i="7"/>
  <c r="B102" i="7"/>
  <c r="B101" i="7"/>
  <c r="B100" i="7"/>
  <c r="B99" i="7"/>
  <c r="B98" i="7"/>
  <c r="B96" i="7"/>
  <c r="D94" i="7"/>
  <c r="I93" i="7"/>
  <c r="B91" i="7"/>
  <c r="D89" i="7"/>
  <c r="B89" i="7"/>
  <c r="B88" i="7"/>
  <c r="B87" i="7"/>
  <c r="B83" i="7"/>
  <c r="B77" i="7"/>
  <c r="D74" i="7"/>
  <c r="B74" i="7"/>
  <c r="B70" i="7"/>
  <c r="D68" i="7"/>
  <c r="I67" i="7"/>
  <c r="B65" i="7"/>
  <c r="G63" i="7"/>
  <c r="D63" i="7"/>
  <c r="B63" i="7"/>
  <c r="B62" i="7"/>
  <c r="B61" i="7"/>
  <c r="C59" i="7"/>
  <c r="B59" i="7"/>
  <c r="B57" i="7"/>
  <c r="B55" i="7"/>
  <c r="C53" i="7"/>
  <c r="C57" i="7" s="1"/>
  <c r="B53" i="7"/>
  <c r="B51" i="7"/>
  <c r="B50" i="7"/>
  <c r="B46" i="7"/>
  <c r="B45" i="7"/>
  <c r="B43" i="7"/>
  <c r="I41" i="7"/>
  <c r="B40" i="7"/>
  <c r="B37" i="7"/>
  <c r="B35" i="7"/>
  <c r="B33" i="7"/>
  <c r="B31" i="7"/>
  <c r="B29" i="7"/>
  <c r="B27" i="7"/>
  <c r="D24" i="7"/>
  <c r="B24" i="7"/>
  <c r="B23" i="7"/>
  <c r="B22" i="7"/>
  <c r="B21" i="7"/>
  <c r="B20" i="7"/>
  <c r="B19" i="7"/>
  <c r="B18" i="7"/>
  <c r="B16" i="7"/>
  <c r="B12" i="7"/>
  <c r="B10" i="7"/>
  <c r="B8" i="7"/>
  <c r="E4" i="7"/>
  <c r="I3" i="7"/>
  <c r="G188" i="6"/>
  <c r="G187" i="6"/>
  <c r="H187" i="6" s="1"/>
  <c r="G186" i="6"/>
  <c r="H186" i="6" s="1"/>
  <c r="G184" i="6"/>
  <c r="G183" i="6"/>
  <c r="G182" i="6"/>
  <c r="G181" i="6"/>
  <c r="H181" i="6" s="1"/>
  <c r="D178" i="6"/>
  <c r="G177" i="6"/>
  <c r="D176" i="6"/>
  <c r="G175" i="6"/>
  <c r="H175" i="6" s="1"/>
  <c r="D174" i="6"/>
  <c r="G173" i="6"/>
  <c r="G171" i="6"/>
  <c r="H171" i="6" s="1"/>
  <c r="G169" i="6"/>
  <c r="G166" i="6"/>
  <c r="H166" i="6" s="1"/>
  <c r="G165" i="6"/>
  <c r="D162" i="6"/>
  <c r="I161" i="6"/>
  <c r="B138" i="6"/>
  <c r="D132" i="6"/>
  <c r="I131" i="6"/>
  <c r="B130" i="6"/>
  <c r="B126" i="6"/>
  <c r="B123" i="6"/>
  <c r="D120" i="6"/>
  <c r="B120" i="6"/>
  <c r="B119" i="6"/>
  <c r="D118" i="6"/>
  <c r="B118" i="6"/>
  <c r="B117" i="6"/>
  <c r="D116" i="6"/>
  <c r="B116" i="6"/>
  <c r="B115" i="6"/>
  <c r="B114" i="6"/>
  <c r="B112" i="6"/>
  <c r="B110" i="6"/>
  <c r="B109" i="6"/>
  <c r="B108" i="6"/>
  <c r="B107" i="6"/>
  <c r="B106" i="6"/>
  <c r="B105" i="6"/>
  <c r="B104" i="6"/>
  <c r="B103" i="6"/>
  <c r="B102" i="6"/>
  <c r="B101" i="6"/>
  <c r="B100" i="6"/>
  <c r="B99" i="6"/>
  <c r="B97" i="6"/>
  <c r="D95" i="6"/>
  <c r="I94" i="6"/>
  <c r="B92" i="6"/>
  <c r="D90" i="6"/>
  <c r="B90" i="6"/>
  <c r="B89" i="6"/>
  <c r="B88" i="6"/>
  <c r="B84" i="6"/>
  <c r="B79" i="6"/>
  <c r="D77" i="6"/>
  <c r="B77" i="6"/>
  <c r="B73" i="6"/>
  <c r="D71" i="6"/>
  <c r="I70" i="6"/>
  <c r="B68" i="6"/>
  <c r="G66" i="6"/>
  <c r="D66" i="6"/>
  <c r="B66" i="6"/>
  <c r="B64" i="6"/>
  <c r="B63" i="6"/>
  <c r="C61" i="6"/>
  <c r="B61" i="6"/>
  <c r="B59" i="6"/>
  <c r="C59" i="6"/>
  <c r="B57" i="6"/>
  <c r="C55" i="6"/>
  <c r="B55" i="6"/>
  <c r="B53" i="6"/>
  <c r="B52" i="6"/>
  <c r="B49" i="6"/>
  <c r="B48" i="6"/>
  <c r="B46" i="6"/>
  <c r="I44" i="6"/>
  <c r="B43" i="6"/>
  <c r="B40" i="6"/>
  <c r="B38" i="6"/>
  <c r="B36" i="6"/>
  <c r="B34" i="6"/>
  <c r="B32" i="6"/>
  <c r="B30" i="6"/>
  <c r="B25" i="6"/>
  <c r="B24" i="6"/>
  <c r="B22" i="6"/>
  <c r="B20" i="6"/>
  <c r="B19" i="6"/>
  <c r="B18" i="6"/>
  <c r="B16" i="6"/>
  <c r="B12" i="6"/>
  <c r="B10" i="6"/>
  <c r="B8" i="6"/>
  <c r="E4" i="6"/>
  <c r="I3" i="6"/>
  <c r="H183" i="6" l="1"/>
  <c r="I183" i="6"/>
  <c r="J183" i="6" s="1"/>
  <c r="M183" i="6" s="1"/>
  <c r="N183" i="6" s="1"/>
  <c r="O183" i="6" s="1"/>
  <c r="P183" i="6" s="1"/>
  <c r="Q183" i="6" s="1"/>
  <c r="H184" i="6"/>
  <c r="I184" i="6"/>
  <c r="J184" i="6" s="1"/>
  <c r="I170" i="7"/>
  <c r="J170" i="7" s="1"/>
  <c r="I164" i="7"/>
  <c r="J164" i="7" s="1"/>
  <c r="N164" i="7" s="1"/>
  <c r="O164" i="7" s="1"/>
  <c r="P164" i="7" s="1"/>
  <c r="Q164" i="7" s="1"/>
  <c r="I172" i="7"/>
  <c r="J172" i="7" s="1"/>
  <c r="I180" i="7"/>
  <c r="J180" i="7" s="1"/>
  <c r="I176" i="7"/>
  <c r="J176" i="7" s="1"/>
  <c r="H170" i="7"/>
  <c r="H180" i="7"/>
  <c r="I165" i="7"/>
  <c r="J165" i="7" s="1"/>
  <c r="H172" i="7"/>
  <c r="H4" i="7"/>
  <c r="I188" i="8"/>
  <c r="J188" i="8" s="1"/>
  <c r="M188" i="8" s="1"/>
  <c r="N188" i="8" s="1"/>
  <c r="I186" i="8"/>
  <c r="J186" i="8" s="1"/>
  <c r="M186" i="8" s="1"/>
  <c r="N186" i="8" s="1"/>
  <c r="H188" i="8"/>
  <c r="I182" i="8"/>
  <c r="J182" i="8" s="1"/>
  <c r="M182" i="8" s="1"/>
  <c r="N182" i="8" s="1"/>
  <c r="H187" i="8"/>
  <c r="I165" i="8"/>
  <c r="J165" i="8" s="1"/>
  <c r="M165" i="8" s="1"/>
  <c r="N165" i="8" s="1"/>
  <c r="I166" i="8"/>
  <c r="J166" i="8" s="1"/>
  <c r="M166" i="8" s="1"/>
  <c r="N166" i="8" s="1"/>
  <c r="I169" i="8"/>
  <c r="J169" i="8" s="1"/>
  <c r="M169" i="8" s="1"/>
  <c r="N169" i="8" s="1"/>
  <c r="I171" i="8"/>
  <c r="J171" i="8" s="1"/>
  <c r="M171" i="8" s="1"/>
  <c r="N171" i="8" s="1"/>
  <c r="I173" i="8"/>
  <c r="J173" i="8" s="1"/>
  <c r="M173" i="8" s="1"/>
  <c r="N173" i="8" s="1"/>
  <c r="I175" i="8"/>
  <c r="J175" i="8" s="1"/>
  <c r="M175" i="8" s="1"/>
  <c r="N175" i="8" s="1"/>
  <c r="I177" i="8"/>
  <c r="J177" i="8" s="1"/>
  <c r="M177" i="8" s="1"/>
  <c r="N177" i="8" s="1"/>
  <c r="I181" i="8"/>
  <c r="J181" i="8" s="1"/>
  <c r="M181" i="8" s="1"/>
  <c r="N181" i="8" s="1"/>
  <c r="H186" i="8"/>
  <c r="I187" i="8"/>
  <c r="J187" i="8" s="1"/>
  <c r="M187" i="8" s="1"/>
  <c r="N187" i="8" s="1"/>
  <c r="I168" i="7"/>
  <c r="J168" i="7" s="1"/>
  <c r="H168" i="7"/>
  <c r="H185" i="7"/>
  <c r="I185" i="7"/>
  <c r="J185" i="7" s="1"/>
  <c r="H164" i="7"/>
  <c r="I174" i="7"/>
  <c r="J174" i="7" s="1"/>
  <c r="H174" i="7"/>
  <c r="I4" i="7"/>
  <c r="J4" i="7" s="1"/>
  <c r="I181" i="7"/>
  <c r="J181" i="7" s="1"/>
  <c r="H181" i="7"/>
  <c r="I186" i="7"/>
  <c r="J186" i="7" s="1"/>
  <c r="H186" i="7"/>
  <c r="I187" i="7"/>
  <c r="J187" i="7" s="1"/>
  <c r="I171" i="6"/>
  <c r="J171" i="6" s="1"/>
  <c r="I187" i="6"/>
  <c r="J187" i="6" s="1"/>
  <c r="I181" i="6"/>
  <c r="J181" i="6" s="1"/>
  <c r="I175" i="6"/>
  <c r="J175" i="6" s="1"/>
  <c r="I166" i="6"/>
  <c r="J166" i="6" s="1"/>
  <c r="I173" i="6"/>
  <c r="J173" i="6" s="1"/>
  <c r="I186" i="6"/>
  <c r="J186" i="6" s="1"/>
  <c r="I177" i="6"/>
  <c r="J177" i="6" s="1"/>
  <c r="I169" i="6"/>
  <c r="J169" i="6" s="1"/>
  <c r="H169" i="6"/>
  <c r="I182" i="6"/>
  <c r="J182" i="6" s="1"/>
  <c r="H182" i="6"/>
  <c r="H188" i="6"/>
  <c r="I188" i="6"/>
  <c r="J188" i="6" s="1"/>
  <c r="I165" i="6"/>
  <c r="J165" i="6" s="1"/>
  <c r="N165" i="6" s="1"/>
  <c r="O165" i="6" s="1"/>
  <c r="P165" i="6" s="1"/>
  <c r="H173" i="6"/>
  <c r="H177" i="6"/>
  <c r="H165" i="6"/>
  <c r="F208" i="5"/>
  <c r="K208" i="5" s="1"/>
  <c r="F207" i="5"/>
  <c r="K207" i="5" s="1"/>
  <c r="H3" i="5"/>
  <c r="H135" i="5" s="1"/>
  <c r="I135" i="5" s="1"/>
  <c r="M172" i="7" l="1"/>
  <c r="N172" i="7" s="1"/>
  <c r="O172" i="7" s="1"/>
  <c r="P172" i="7" s="1"/>
  <c r="Q172" i="7" s="1"/>
  <c r="M166" i="6"/>
  <c r="N166" i="6" s="1"/>
  <c r="O166" i="6" s="1"/>
  <c r="P166" i="6" s="1"/>
  <c r="M181" i="7"/>
  <c r="N181" i="7" s="1"/>
  <c r="O181" i="7" s="1"/>
  <c r="P181" i="7" s="1"/>
  <c r="Q181" i="7" s="1"/>
  <c r="M188" i="6"/>
  <c r="N188" i="6" s="1"/>
  <c r="O188" i="6" s="1"/>
  <c r="P188" i="6" s="1"/>
  <c r="Q188" i="6" s="1"/>
  <c r="M186" i="7"/>
  <c r="N186" i="7" s="1"/>
  <c r="O186" i="7" s="1"/>
  <c r="P186" i="7" s="1"/>
  <c r="Q186" i="7" s="1"/>
  <c r="M175" i="6"/>
  <c r="N175" i="6" s="1"/>
  <c r="O175" i="6" s="1"/>
  <c r="P175" i="6" s="1"/>
  <c r="Q175" i="6" s="1"/>
  <c r="M168" i="7"/>
  <c r="N168" i="7" s="1"/>
  <c r="O168" i="7" s="1"/>
  <c r="P168" i="7" s="1"/>
  <c r="Q168" i="7" s="1"/>
  <c r="M182" i="6"/>
  <c r="N182" i="6" s="1"/>
  <c r="O182" i="6" s="1"/>
  <c r="P182" i="6" s="1"/>
  <c r="Q182" i="6" s="1"/>
  <c r="M181" i="6"/>
  <c r="N181" i="6" s="1"/>
  <c r="O181" i="6" s="1"/>
  <c r="P181" i="6" s="1"/>
  <c r="Q181" i="6" s="1"/>
  <c r="M170" i="7"/>
  <c r="N170" i="7" s="1"/>
  <c r="O170" i="7" s="1"/>
  <c r="P170" i="7" s="1"/>
  <c r="Q170" i="7" s="1"/>
  <c r="M187" i="6"/>
  <c r="N187" i="6" s="1"/>
  <c r="O187" i="6" s="1"/>
  <c r="P187" i="6" s="1"/>
  <c r="Q187" i="6" s="1"/>
  <c r="M165" i="7"/>
  <c r="N165" i="7" s="1"/>
  <c r="O165" i="7" s="1"/>
  <c r="P165" i="7" s="1"/>
  <c r="Q165" i="7" s="1"/>
  <c r="M184" i="6"/>
  <c r="N184" i="6" s="1"/>
  <c r="O184" i="6" s="1"/>
  <c r="P184" i="6" s="1"/>
  <c r="Q184" i="6" s="1"/>
  <c r="M171" i="6"/>
  <c r="N171" i="6" s="1"/>
  <c r="O171" i="6" s="1"/>
  <c r="P171" i="6" s="1"/>
  <c r="Q171" i="6" s="1"/>
  <c r="M174" i="7"/>
  <c r="N174" i="7" s="1"/>
  <c r="O174" i="7" s="1"/>
  <c r="P174" i="7" s="1"/>
  <c r="Q174" i="7" s="1"/>
  <c r="M177" i="6"/>
  <c r="N177" i="6" s="1"/>
  <c r="O177" i="6" s="1"/>
  <c r="P177" i="6" s="1"/>
  <c r="Q177" i="6" s="1"/>
  <c r="M187" i="7"/>
  <c r="N187" i="7" s="1"/>
  <c r="O187" i="7" s="1"/>
  <c r="P187" i="7" s="1"/>
  <c r="Q187" i="7" s="1"/>
  <c r="M173" i="6"/>
  <c r="N173" i="6" s="1"/>
  <c r="O173" i="6" s="1"/>
  <c r="P173" i="6" s="1"/>
  <c r="Q173" i="6" s="1"/>
  <c r="M180" i="7"/>
  <c r="N180" i="7" s="1"/>
  <c r="O180" i="7" s="1"/>
  <c r="P180" i="7" s="1"/>
  <c r="Q180" i="7" s="1"/>
  <c r="M169" i="6"/>
  <c r="N169" i="6" s="1"/>
  <c r="O169" i="6" s="1"/>
  <c r="P169" i="6" s="1"/>
  <c r="Q169" i="6" s="1"/>
  <c r="M186" i="6"/>
  <c r="N186" i="6" s="1"/>
  <c r="O186" i="6" s="1"/>
  <c r="P186" i="6" s="1"/>
  <c r="Q186" i="6" s="1"/>
  <c r="M185" i="7"/>
  <c r="N185" i="7" s="1"/>
  <c r="O185" i="7" s="1"/>
  <c r="P185" i="7" s="1"/>
  <c r="Q185" i="7" s="1"/>
  <c r="M176" i="7"/>
  <c r="N176" i="7" s="1"/>
  <c r="O176" i="7" s="1"/>
  <c r="P176" i="7" s="1"/>
  <c r="Q176" i="7" s="1"/>
  <c r="G207" i="5"/>
  <c r="H207" i="5"/>
  <c r="I207" i="5" s="1"/>
  <c r="H208" i="5"/>
  <c r="I208" i="5" s="1"/>
  <c r="G208" i="5"/>
  <c r="G206" i="5"/>
  <c r="H206" i="5"/>
  <c r="I206" i="5" s="1"/>
  <c r="F160" i="1"/>
  <c r="E160" i="1"/>
  <c r="F169" i="1"/>
  <c r="F2236" i="4" s="1"/>
  <c r="F168" i="1"/>
  <c r="F2219" i="4" s="1"/>
  <c r="F167" i="1"/>
  <c r="F2218" i="4" s="1"/>
  <c r="I2179" i="4"/>
  <c r="I2178" i="4"/>
  <c r="I2177" i="4"/>
  <c r="F2149" i="4"/>
  <c r="I2106" i="4"/>
  <c r="I2105" i="4"/>
  <c r="I2104" i="4"/>
  <c r="L208" i="5" l="1"/>
  <c r="M208" i="5" s="1"/>
  <c r="N208" i="5" s="1"/>
  <c r="L207" i="5"/>
  <c r="M207" i="5" s="1"/>
  <c r="N207" i="5" s="1"/>
  <c r="L206" i="5"/>
  <c r="M206" i="5" s="1"/>
  <c r="N206" i="5" s="1"/>
  <c r="F2220" i="4"/>
  <c r="F2234" i="4"/>
  <c r="F2235" i="4"/>
  <c r="F163" i="1"/>
  <c r="I1819" i="4"/>
  <c r="I1802" i="4"/>
  <c r="I1755" i="4"/>
  <c r="I1738" i="4"/>
  <c r="I1663" i="4"/>
  <c r="I1645" i="4"/>
  <c r="I1597" i="4"/>
  <c r="I1581" i="4"/>
  <c r="F127" i="8" l="1"/>
  <c r="F126" i="7"/>
  <c r="F127" i="6"/>
  <c r="F127" i="7"/>
  <c r="F128" i="8"/>
  <c r="F128" i="6"/>
  <c r="F123" i="7"/>
  <c r="F124" i="8"/>
  <c r="F124" i="6"/>
  <c r="F135" i="8"/>
  <c r="F135" i="6"/>
  <c r="F134" i="7"/>
  <c r="F124" i="7"/>
  <c r="F125" i="6"/>
  <c r="F125" i="8"/>
  <c r="F136" i="8"/>
  <c r="F135" i="7"/>
  <c r="F136" i="6"/>
  <c r="F1668" i="4"/>
  <c r="D1668" i="4" s="1"/>
  <c r="F1586" i="4"/>
  <c r="D1586" i="4" s="1"/>
  <c r="F1761" i="4"/>
  <c r="D1761" i="4" s="1"/>
  <c r="F1808" i="4"/>
  <c r="D1808" i="4" s="1"/>
  <c r="F1650" i="4"/>
  <c r="D1650" i="4" s="1"/>
  <c r="F1825" i="4"/>
  <c r="D1825" i="4" s="1"/>
  <c r="F1602" i="4"/>
  <c r="D1602" i="4" s="1"/>
  <c r="F1744" i="4"/>
  <c r="D1744" i="4" s="1"/>
  <c r="D2234" i="4"/>
  <c r="D2233" i="4"/>
  <c r="D2235" i="4" s="1"/>
  <c r="D2218" i="4"/>
  <c r="D2217" i="4"/>
  <c r="D2220" i="4" s="1"/>
  <c r="D2145" i="4"/>
  <c r="D2146" i="4" s="1"/>
  <c r="D2148" i="4" s="1"/>
  <c r="D2074" i="4"/>
  <c r="D2147" i="4"/>
  <c r="D1824" i="4"/>
  <c r="D1823" i="4"/>
  <c r="D1807" i="4"/>
  <c r="D1806" i="4"/>
  <c r="D1760" i="4"/>
  <c r="D1759" i="4"/>
  <c r="D1743" i="4"/>
  <c r="D1742" i="4"/>
  <c r="D1667" i="4"/>
  <c r="D1666" i="4"/>
  <c r="D1649" i="4"/>
  <c r="D1648" i="4"/>
  <c r="I1710" i="4"/>
  <c r="D1601" i="4"/>
  <c r="D1600" i="4"/>
  <c r="D1584" i="4"/>
  <c r="D1585" i="4"/>
  <c r="D2236" i="4" l="1"/>
  <c r="D2237" i="4" s="1"/>
  <c r="I2239" i="4" s="1"/>
  <c r="I2241" i="4" s="1"/>
  <c r="D2219" i="4"/>
  <c r="D2221" i="4" s="1"/>
  <c r="D2149" i="4"/>
  <c r="D2150" i="4" s="1"/>
  <c r="I2152" i="4" s="1"/>
  <c r="I2154" i="4" s="1"/>
  <c r="D1809" i="4"/>
  <c r="I1811" i="4" s="1"/>
  <c r="I1813" i="4" s="1"/>
  <c r="D1826" i="4"/>
  <c r="I1828" i="4" s="1"/>
  <c r="I1830" i="4" s="1"/>
  <c r="D1762" i="4"/>
  <c r="I1764" i="4" s="1"/>
  <c r="D1745" i="4"/>
  <c r="I1747" i="4" s="1"/>
  <c r="I1749" i="4" s="1"/>
  <c r="D1651" i="4"/>
  <c r="D1669" i="4"/>
  <c r="I1671" i="4" s="1"/>
  <c r="I1673" i="4" s="1"/>
  <c r="D1603" i="4"/>
  <c r="I1605" i="4" s="1"/>
  <c r="I1607" i="4" s="1"/>
  <c r="D1587" i="4"/>
  <c r="I1589" i="4" l="1"/>
  <c r="I1591" i="4" s="1"/>
  <c r="I1815" i="4"/>
  <c r="G135" i="8"/>
  <c r="H135" i="8" s="1"/>
  <c r="G134" i="7"/>
  <c r="G135" i="6"/>
  <c r="I2156" i="4"/>
  <c r="G146" i="8"/>
  <c r="G146" i="6"/>
  <c r="G145" i="7"/>
  <c r="G121" i="7"/>
  <c r="G122" i="6"/>
  <c r="G122" i="8"/>
  <c r="H122" i="8" s="1"/>
  <c r="G127" i="8"/>
  <c r="H127" i="8" s="1"/>
  <c r="G126" i="7"/>
  <c r="G127" i="6"/>
  <c r="I1675" i="4"/>
  <c r="G125" i="8"/>
  <c r="H125" i="8" s="1"/>
  <c r="G124" i="7"/>
  <c r="G125" i="6"/>
  <c r="I1832" i="4"/>
  <c r="G136" i="8"/>
  <c r="H136" i="8" s="1"/>
  <c r="G135" i="7"/>
  <c r="G136" i="6"/>
  <c r="G149" i="8"/>
  <c r="G148" i="7"/>
  <c r="G149" i="6"/>
  <c r="I2243" i="4"/>
  <c r="I1751" i="4"/>
  <c r="I1609" i="4"/>
  <c r="I1766" i="4"/>
  <c r="I2223" i="4"/>
  <c r="I2225" i="4" s="1"/>
  <c r="I1653" i="4"/>
  <c r="H135" i="6" l="1"/>
  <c r="I135" i="6"/>
  <c r="J135" i="6" s="1"/>
  <c r="M135" i="6" s="1"/>
  <c r="N135" i="6" s="1"/>
  <c r="O135" i="6" s="1"/>
  <c r="P135" i="6" s="1"/>
  <c r="Q135" i="6" s="1"/>
  <c r="H127" i="6"/>
  <c r="I127" i="6"/>
  <c r="J127" i="6" s="1"/>
  <c r="H134" i="7"/>
  <c r="I134" i="7"/>
  <c r="J134" i="7" s="1"/>
  <c r="M134" i="7" s="1"/>
  <c r="N134" i="7" s="1"/>
  <c r="O134" i="7" s="1"/>
  <c r="P134" i="7" s="1"/>
  <c r="Q134" i="7" s="1"/>
  <c r="H126" i="7"/>
  <c r="I126" i="7"/>
  <c r="J126" i="7" s="1"/>
  <c r="M126" i="7" s="1"/>
  <c r="N126" i="7" s="1"/>
  <c r="O126" i="7" s="1"/>
  <c r="P126" i="7" s="1"/>
  <c r="Q126" i="7" s="1"/>
  <c r="H136" i="6"/>
  <c r="I136" i="6"/>
  <c r="J136" i="6" s="1"/>
  <c r="M136" i="6" s="1"/>
  <c r="N136" i="6" s="1"/>
  <c r="O136" i="6" s="1"/>
  <c r="P136" i="6" s="1"/>
  <c r="Q136" i="6" s="1"/>
  <c r="H124" i="7"/>
  <c r="I124" i="7"/>
  <c r="J124" i="7" s="1"/>
  <c r="M124" i="7" s="1"/>
  <c r="N124" i="7" s="1"/>
  <c r="O124" i="7" s="1"/>
  <c r="P124" i="7" s="1"/>
  <c r="Q124" i="7" s="1"/>
  <c r="H121" i="7"/>
  <c r="I121" i="7"/>
  <c r="J121" i="7" s="1"/>
  <c r="M121" i="7" s="1"/>
  <c r="N121" i="7" s="1"/>
  <c r="O121" i="7" s="1"/>
  <c r="P121" i="7" s="1"/>
  <c r="Q121" i="7" s="1"/>
  <c r="H135" i="7"/>
  <c r="I135" i="7"/>
  <c r="J135" i="7" s="1"/>
  <c r="M135" i="7" s="1"/>
  <c r="N135" i="7" s="1"/>
  <c r="O135" i="7" s="1"/>
  <c r="P135" i="7" s="1"/>
  <c r="Q135" i="7" s="1"/>
  <c r="H122" i="6"/>
  <c r="I122" i="6"/>
  <c r="J122" i="6" s="1"/>
  <c r="M122" i="6" s="1"/>
  <c r="N122" i="6" s="1"/>
  <c r="O122" i="6" s="1"/>
  <c r="P122" i="6" s="1"/>
  <c r="Q122" i="6" s="1"/>
  <c r="H125" i="6"/>
  <c r="I125" i="6"/>
  <c r="J125" i="6" s="1"/>
  <c r="M125" i="6" s="1"/>
  <c r="N125" i="6" s="1"/>
  <c r="O125" i="6" s="1"/>
  <c r="P125" i="6" s="1"/>
  <c r="Q125" i="6" s="1"/>
  <c r="G121" i="8"/>
  <c r="F120" i="7"/>
  <c r="F121" i="6"/>
  <c r="F121" i="8"/>
  <c r="G120" i="7"/>
  <c r="I120" i="7" s="1"/>
  <c r="J120" i="7" s="1"/>
  <c r="M120" i="7" s="1"/>
  <c r="N120" i="7" s="1"/>
  <c r="O120" i="7" s="1"/>
  <c r="P120" i="7" s="1"/>
  <c r="Q120" i="7" s="1"/>
  <c r="I1593" i="4"/>
  <c r="G121" i="6"/>
  <c r="I149" i="6"/>
  <c r="J149" i="6" s="1"/>
  <c r="H149" i="6"/>
  <c r="I1768" i="4"/>
  <c r="G128" i="6"/>
  <c r="G128" i="8"/>
  <c r="H128" i="8" s="1"/>
  <c r="G127" i="7"/>
  <c r="G147" i="7"/>
  <c r="G148" i="6"/>
  <c r="G148" i="8"/>
  <c r="H149" i="8"/>
  <c r="I149" i="8"/>
  <c r="J149" i="8" s="1"/>
  <c r="M149" i="8" s="1"/>
  <c r="N149" i="8" s="1"/>
  <c r="H146" i="8"/>
  <c r="I146" i="8"/>
  <c r="J146" i="8" s="1"/>
  <c r="M146" i="8" s="1"/>
  <c r="N146" i="8" s="1"/>
  <c r="H145" i="7"/>
  <c r="I145" i="7"/>
  <c r="J145" i="7" s="1"/>
  <c r="H148" i="7"/>
  <c r="I148" i="7"/>
  <c r="J148" i="7" s="1"/>
  <c r="H146" i="6"/>
  <c r="I146" i="6"/>
  <c r="J146" i="6" s="1"/>
  <c r="I2227" i="4"/>
  <c r="I1655" i="4"/>
  <c r="I2250" i="4"/>
  <c r="C2042" i="4"/>
  <c r="F2134" i="4"/>
  <c r="D2134" i="4"/>
  <c r="B2134" i="4"/>
  <c r="C2130" i="4"/>
  <c r="B2130" i="4"/>
  <c r="C2129" i="4"/>
  <c r="C2122" i="4"/>
  <c r="C2121" i="4"/>
  <c r="C2120" i="4"/>
  <c r="I2115" i="4"/>
  <c r="F2115" i="4"/>
  <c r="D2115" i="4"/>
  <c r="B2115" i="4"/>
  <c r="I2092" i="4"/>
  <c r="M149" i="6" l="1"/>
  <c r="N149" i="6" s="1"/>
  <c r="O149" i="6" s="1"/>
  <c r="P149" i="6" s="1"/>
  <c r="Q149" i="6" s="1"/>
  <c r="I121" i="6"/>
  <c r="J121" i="6" s="1"/>
  <c r="M121" i="6" s="1"/>
  <c r="N121" i="6" s="1"/>
  <c r="O121" i="6" s="1"/>
  <c r="P121" i="6" s="1"/>
  <c r="Q121" i="6" s="1"/>
  <c r="M127" i="6"/>
  <c r="N127" i="6" s="1"/>
  <c r="O127" i="6" s="1"/>
  <c r="P127" i="6" s="1"/>
  <c r="Q127" i="6" s="1"/>
  <c r="M148" i="7"/>
  <c r="N148" i="7" s="1"/>
  <c r="O148" i="7" s="1"/>
  <c r="P148" i="7" s="1"/>
  <c r="Q148" i="7" s="1"/>
  <c r="M145" i="7"/>
  <c r="N145" i="7" s="1"/>
  <c r="O145" i="7" s="1"/>
  <c r="P145" i="7" s="1"/>
  <c r="Q145" i="7" s="1"/>
  <c r="H127" i="7"/>
  <c r="I127" i="7"/>
  <c r="J127" i="7" s="1"/>
  <c r="M127" i="7" s="1"/>
  <c r="N127" i="7" s="1"/>
  <c r="O127" i="7" s="1"/>
  <c r="P127" i="7" s="1"/>
  <c r="Q127" i="7" s="1"/>
  <c r="H128" i="6"/>
  <c r="I128" i="6"/>
  <c r="J128" i="6" s="1"/>
  <c r="M128" i="6" s="1"/>
  <c r="N128" i="6" s="1"/>
  <c r="O128" i="6" s="1"/>
  <c r="P128" i="6" s="1"/>
  <c r="Q128" i="6" s="1"/>
  <c r="M146" i="6"/>
  <c r="N146" i="6" s="1"/>
  <c r="O146" i="6" s="1"/>
  <c r="P146" i="6" s="1"/>
  <c r="Q146" i="6" s="1"/>
  <c r="H121" i="8"/>
  <c r="H121" i="6"/>
  <c r="H120" i="7"/>
  <c r="H148" i="6"/>
  <c r="I148" i="6"/>
  <c r="J148" i="6" s="1"/>
  <c r="I1657" i="4"/>
  <c r="G124" i="8"/>
  <c r="H124" i="8" s="1"/>
  <c r="G123" i="7"/>
  <c r="G124" i="6"/>
  <c r="H147" i="7"/>
  <c r="I147" i="7"/>
  <c r="J147" i="7" s="1"/>
  <c r="H148" i="8"/>
  <c r="I148" i="8"/>
  <c r="J148" i="8" s="1"/>
  <c r="M148" i="8" s="1"/>
  <c r="N148" i="8" s="1"/>
  <c r="I2107" i="4"/>
  <c r="K2107" i="4" s="1"/>
  <c r="M148" i="6" l="1"/>
  <c r="N148" i="6" s="1"/>
  <c r="O148" i="6" s="1"/>
  <c r="P148" i="6" s="1"/>
  <c r="Q148" i="6" s="1"/>
  <c r="H124" i="6"/>
  <c r="I124" i="6"/>
  <c r="J124" i="6" s="1"/>
  <c r="M147" i="7"/>
  <c r="N147" i="7" s="1"/>
  <c r="O147" i="7" s="1"/>
  <c r="P147" i="7" s="1"/>
  <c r="Q147" i="7" s="1"/>
  <c r="H123" i="7"/>
  <c r="I123" i="7"/>
  <c r="J123" i="7" s="1"/>
  <c r="M123" i="7" s="1"/>
  <c r="N123" i="7" s="1"/>
  <c r="O123" i="7" s="1"/>
  <c r="P123" i="7" s="1"/>
  <c r="Q123" i="7" s="1"/>
  <c r="M124" i="6" l="1"/>
  <c r="N124" i="6" s="1"/>
  <c r="O124" i="6" s="1"/>
  <c r="P124" i="6" s="1"/>
  <c r="Q124" i="6" s="1"/>
  <c r="B19" i="5"/>
  <c r="D4" i="5" l="1"/>
  <c r="O9" i="1" l="1"/>
  <c r="O10" i="1"/>
  <c r="J942" i="4" l="1"/>
  <c r="J1016" i="4"/>
  <c r="J1059" i="4"/>
  <c r="J1054" i="4"/>
  <c r="F72" i="1"/>
  <c r="F71" i="1"/>
  <c r="F68" i="1"/>
  <c r="F67" i="1"/>
  <c r="F66" i="1"/>
  <c r="F65" i="1"/>
  <c r="I295" i="4" s="1"/>
  <c r="F64" i="1"/>
  <c r="F63" i="1"/>
  <c r="F62" i="1"/>
  <c r="F60" i="1"/>
  <c r="F59" i="1"/>
  <c r="F58" i="1"/>
  <c r="F57" i="1"/>
  <c r="F54" i="1"/>
  <c r="F53" i="1"/>
  <c r="F51" i="1"/>
  <c r="F48" i="1"/>
  <c r="I520" i="9" s="1"/>
  <c r="F47" i="1"/>
  <c r="F46" i="1"/>
  <c r="F45" i="1"/>
  <c r="F42" i="1"/>
  <c r="F41" i="1"/>
  <c r="F40" i="1"/>
  <c r="I17" i="9" s="1"/>
  <c r="F39" i="1"/>
  <c r="I55" i="9" s="1"/>
  <c r="F37" i="1"/>
  <c r="F33" i="1"/>
  <c r="F32" i="1"/>
  <c r="F31" i="1"/>
  <c r="F30" i="1"/>
  <c r="I93" i="9" s="1"/>
  <c r="F29" i="1"/>
  <c r="I59" i="9" s="1"/>
  <c r="F28" i="1"/>
  <c r="F27" i="1"/>
  <c r="F26" i="1"/>
  <c r="I119" i="13" s="1"/>
  <c r="F25" i="1"/>
  <c r="F24" i="1"/>
  <c r="F23" i="1"/>
  <c r="F133" i="1"/>
  <c r="I287" i="4"/>
  <c r="F1081" i="4"/>
  <c r="D1081" i="4"/>
  <c r="B1081" i="4"/>
  <c r="C1073" i="4"/>
  <c r="B1073" i="4"/>
  <c r="C1072" i="4"/>
  <c r="C1068" i="4"/>
  <c r="C1067" i="4"/>
  <c r="C1064" i="4"/>
  <c r="C1063" i="4"/>
  <c r="I1050" i="4"/>
  <c r="F1043" i="4"/>
  <c r="D1043" i="4"/>
  <c r="B1043" i="4"/>
  <c r="C1035" i="4"/>
  <c r="B1035" i="4"/>
  <c r="C1034" i="4"/>
  <c r="C1030" i="4"/>
  <c r="C1029" i="4"/>
  <c r="C1026" i="4"/>
  <c r="C1025" i="4"/>
  <c r="I1012" i="4"/>
  <c r="F1005" i="4"/>
  <c r="D1005" i="4"/>
  <c r="B1005" i="4"/>
  <c r="C1001" i="4"/>
  <c r="B1001" i="4"/>
  <c r="C1000" i="4"/>
  <c r="C996" i="4"/>
  <c r="C995" i="4"/>
  <c r="C992" i="4"/>
  <c r="C991" i="4"/>
  <c r="I978" i="4"/>
  <c r="I1930" i="4"/>
  <c r="I1899" i="4"/>
  <c r="C947" i="4"/>
  <c r="C944" i="4"/>
  <c r="C945" i="4"/>
  <c r="C946" i="4"/>
  <c r="C948" i="4"/>
  <c r="K119" i="1"/>
  <c r="K121" i="1" s="1"/>
  <c r="L113" i="1"/>
  <c r="L115" i="1" s="1"/>
  <c r="K115" i="1"/>
  <c r="C639" i="4"/>
  <c r="C1197" i="4"/>
  <c r="F2269" i="4"/>
  <c r="F2205" i="4"/>
  <c r="F2062" i="4"/>
  <c r="F2010" i="4"/>
  <c r="F1978" i="4"/>
  <c r="F1946" i="4"/>
  <c r="F1915" i="4"/>
  <c r="F1884" i="4"/>
  <c r="F1855" i="4"/>
  <c r="F1793" i="4"/>
  <c r="F1728" i="4"/>
  <c r="F1635" i="4"/>
  <c r="F1548" i="4"/>
  <c r="F1524" i="4"/>
  <c r="F1473" i="4"/>
  <c r="F1432" i="4"/>
  <c r="F1396" i="4"/>
  <c r="F1359" i="4"/>
  <c r="F1322" i="4"/>
  <c r="F1285" i="4"/>
  <c r="F1251" i="4"/>
  <c r="F1214" i="4"/>
  <c r="F1178" i="4"/>
  <c r="F1140" i="4"/>
  <c r="F1110" i="4"/>
  <c r="F969" i="4"/>
  <c r="F901" i="4"/>
  <c r="F860" i="4"/>
  <c r="F817" i="4"/>
  <c r="F768" i="4"/>
  <c r="F727" i="4"/>
  <c r="F647" i="4"/>
  <c r="F605" i="4"/>
  <c r="F500" i="4"/>
  <c r="F463" i="4"/>
  <c r="F425" i="4"/>
  <c r="F387" i="4"/>
  <c r="F280" i="4"/>
  <c r="F242" i="4"/>
  <c r="F212" i="4"/>
  <c r="F181" i="4"/>
  <c r="F79" i="4"/>
  <c r="F34" i="4"/>
  <c r="C141" i="1"/>
  <c r="P88" i="1"/>
  <c r="F94" i="1" s="1"/>
  <c r="I2099" i="4" s="1"/>
  <c r="P87" i="1"/>
  <c r="P86" i="1"/>
  <c r="F84" i="1" s="1"/>
  <c r="P83" i="1"/>
  <c r="P82" i="1"/>
  <c r="F88" i="1" s="1"/>
  <c r="O80" i="1"/>
  <c r="C745" i="4"/>
  <c r="B131" i="5"/>
  <c r="B111" i="5"/>
  <c r="D2269" i="4"/>
  <c r="B2269" i="4"/>
  <c r="C2265" i="4"/>
  <c r="B2265" i="4"/>
  <c r="C2264" i="4"/>
  <c r="C2260" i="4"/>
  <c r="C2259" i="4"/>
  <c r="C2255" i="4"/>
  <c r="D2205" i="4"/>
  <c r="B2205" i="4"/>
  <c r="C2201" i="4"/>
  <c r="B2201" i="4"/>
  <c r="C2200" i="4"/>
  <c r="C2193" i="4"/>
  <c r="C2192" i="4"/>
  <c r="C2191" i="4"/>
  <c r="C2186" i="4"/>
  <c r="C2185" i="4"/>
  <c r="C2184" i="4"/>
  <c r="C2173" i="4"/>
  <c r="C2170" i="4"/>
  <c r="I2165" i="4"/>
  <c r="D2062" i="4"/>
  <c r="B2062" i="4"/>
  <c r="C2058" i="4"/>
  <c r="B2058" i="4"/>
  <c r="C2057" i="4"/>
  <c r="C2050" i="4"/>
  <c r="C2049" i="4"/>
  <c r="C2048" i="4"/>
  <c r="C2043" i="4"/>
  <c r="I2037" i="4"/>
  <c r="I2036" i="4"/>
  <c r="I2035" i="4"/>
  <c r="C2031" i="4"/>
  <c r="C2028" i="4"/>
  <c r="I2023" i="4"/>
  <c r="D2010" i="4"/>
  <c r="B2010" i="4"/>
  <c r="C2006" i="4"/>
  <c r="B2006" i="4"/>
  <c r="C2005" i="4"/>
  <c r="C2001" i="4"/>
  <c r="C2000" i="4"/>
  <c r="C1999" i="4"/>
  <c r="C1995" i="4"/>
  <c r="C1994" i="4"/>
  <c r="I1991" i="4"/>
  <c r="D1978" i="4"/>
  <c r="B1978" i="4"/>
  <c r="C1974" i="4"/>
  <c r="C1973" i="4"/>
  <c r="C1969" i="4"/>
  <c r="C1968" i="4"/>
  <c r="C1967" i="4"/>
  <c r="C1963" i="4"/>
  <c r="C1962" i="4"/>
  <c r="I1959" i="4"/>
  <c r="D1946" i="4"/>
  <c r="B1946" i="4"/>
  <c r="C1942" i="4"/>
  <c r="B1942" i="4"/>
  <c r="C1941" i="4"/>
  <c r="C1937" i="4"/>
  <c r="C1936" i="4"/>
  <c r="I1928" i="4"/>
  <c r="D1915" i="4"/>
  <c r="B1915" i="4"/>
  <c r="C1911" i="4"/>
  <c r="B1911" i="4"/>
  <c r="C1906" i="4"/>
  <c r="C1905" i="4"/>
  <c r="I1897" i="4"/>
  <c r="D1884" i="4"/>
  <c r="B1884" i="4"/>
  <c r="C1880" i="4"/>
  <c r="C1879" i="4"/>
  <c r="C1875" i="4"/>
  <c r="C1874" i="4"/>
  <c r="I1869" i="4"/>
  <c r="D1855" i="4"/>
  <c r="B1855" i="4"/>
  <c r="C1851" i="4"/>
  <c r="C1850" i="4"/>
  <c r="C1846" i="4"/>
  <c r="I1841" i="4"/>
  <c r="D1793" i="4"/>
  <c r="B1793" i="4"/>
  <c r="C1789" i="4"/>
  <c r="C1788" i="4"/>
  <c r="C1784" i="4"/>
  <c r="B1784" i="4"/>
  <c r="C1783" i="4"/>
  <c r="C1779" i="4"/>
  <c r="C1778" i="4"/>
  <c r="C1777" i="4"/>
  <c r="I1774" i="4"/>
  <c r="D1728" i="4"/>
  <c r="B1728" i="4"/>
  <c r="C1724" i="4"/>
  <c r="C1723" i="4"/>
  <c r="C1719" i="4"/>
  <c r="C1718" i="4"/>
  <c r="C1714" i="4"/>
  <c r="D1635" i="4"/>
  <c r="B1635" i="4"/>
  <c r="C1631" i="4"/>
  <c r="C1630" i="4"/>
  <c r="C1626" i="4"/>
  <c r="C1625" i="4"/>
  <c r="C1621" i="4"/>
  <c r="I1616" i="4"/>
  <c r="D1548" i="4"/>
  <c r="B1548" i="4"/>
  <c r="C1543" i="4"/>
  <c r="I1538" i="4"/>
  <c r="D1524" i="4"/>
  <c r="B1524" i="4"/>
  <c r="C1519" i="4"/>
  <c r="I1514" i="4"/>
  <c r="D1473" i="4"/>
  <c r="B1473" i="4"/>
  <c r="C1469" i="4"/>
  <c r="C1468" i="4"/>
  <c r="C1464" i="4"/>
  <c r="C1463" i="4"/>
  <c r="C1459" i="4"/>
  <c r="C1458" i="4"/>
  <c r="C1457" i="4"/>
  <c r="C1456" i="4"/>
  <c r="I1453" i="4"/>
  <c r="I1442" i="4"/>
  <c r="D1432" i="4"/>
  <c r="B1432" i="4"/>
  <c r="C1428" i="4"/>
  <c r="C1427" i="4"/>
  <c r="C1423" i="4"/>
  <c r="C1422" i="4"/>
  <c r="C1418" i="4"/>
  <c r="C1417" i="4"/>
  <c r="C1416" i="4"/>
  <c r="C1415" i="4"/>
  <c r="C1414" i="4"/>
  <c r="F1410" i="4"/>
  <c r="C1410" i="4"/>
  <c r="I1405" i="4"/>
  <c r="D1396" i="4"/>
  <c r="B1396" i="4"/>
  <c r="C1392" i="4"/>
  <c r="C1391" i="4"/>
  <c r="C1387" i="4"/>
  <c r="C1386" i="4"/>
  <c r="C1382" i="4"/>
  <c r="C1381" i="4"/>
  <c r="C1380" i="4"/>
  <c r="C1379" i="4"/>
  <c r="F1373" i="4"/>
  <c r="C1373" i="4"/>
  <c r="I1368" i="4"/>
  <c r="D1359" i="4"/>
  <c r="B1359" i="4"/>
  <c r="C1355" i="4"/>
  <c r="C1354" i="4"/>
  <c r="C1350" i="4"/>
  <c r="C1349" i="4"/>
  <c r="C1345" i="4"/>
  <c r="C1344" i="4"/>
  <c r="C1343" i="4"/>
  <c r="C1342" i="4"/>
  <c r="C1341" i="4"/>
  <c r="F1337" i="4"/>
  <c r="C1337" i="4"/>
  <c r="C1335" i="4"/>
  <c r="I1331" i="4"/>
  <c r="D1322" i="4"/>
  <c r="B1322" i="4"/>
  <c r="C1318" i="4"/>
  <c r="C1317" i="4"/>
  <c r="C1313" i="4"/>
  <c r="C1312" i="4"/>
  <c r="C1308" i="4"/>
  <c r="C1307" i="4"/>
  <c r="C1306" i="4"/>
  <c r="C1305" i="4"/>
  <c r="F1300" i="4"/>
  <c r="C1300" i="4"/>
  <c r="C1298" i="4"/>
  <c r="I1294" i="4"/>
  <c r="D1285" i="4"/>
  <c r="B1285" i="4"/>
  <c r="C1281" i="4"/>
  <c r="C1280" i="4"/>
  <c r="C1276" i="4"/>
  <c r="C1275" i="4"/>
  <c r="C1271" i="4"/>
  <c r="C1270" i="4"/>
  <c r="C1269" i="4"/>
  <c r="C1268" i="4"/>
  <c r="F1264" i="4"/>
  <c r="C1264" i="4"/>
  <c r="F1263" i="4"/>
  <c r="C1263" i="4"/>
  <c r="I1259" i="4"/>
  <c r="D1251" i="4"/>
  <c r="B1251" i="4"/>
  <c r="C1247" i="4"/>
  <c r="C1246" i="4"/>
  <c r="C1242" i="4"/>
  <c r="C1241" i="4"/>
  <c r="C1237" i="4"/>
  <c r="C1236" i="4"/>
  <c r="C1235" i="4"/>
  <c r="F1229" i="4"/>
  <c r="C1229" i="4"/>
  <c r="F1228" i="4"/>
  <c r="C1228" i="4"/>
  <c r="I1224" i="4"/>
  <c r="D1214" i="4"/>
  <c r="B1214" i="4"/>
  <c r="C1210" i="4"/>
  <c r="C1209" i="4"/>
  <c r="C1205" i="4"/>
  <c r="C1204" i="4"/>
  <c r="C1200" i="4"/>
  <c r="C1199" i="4"/>
  <c r="C1198" i="4"/>
  <c r="F1193" i="4"/>
  <c r="C1193" i="4"/>
  <c r="F1192" i="4"/>
  <c r="C1192" i="4"/>
  <c r="F1191" i="4"/>
  <c r="C1191" i="4"/>
  <c r="I1187" i="4"/>
  <c r="D1178" i="4"/>
  <c r="B1178" i="4"/>
  <c r="C1174" i="4"/>
  <c r="C1173" i="4"/>
  <c r="C1169" i="4"/>
  <c r="C1168" i="4"/>
  <c r="C1164" i="4"/>
  <c r="C1163" i="4"/>
  <c r="C1162" i="4"/>
  <c r="F1156" i="4"/>
  <c r="C1156" i="4"/>
  <c r="F1155" i="4"/>
  <c r="C1155" i="4"/>
  <c r="F1154" i="4"/>
  <c r="C1154" i="4"/>
  <c r="I1150" i="4"/>
  <c r="D1140" i="4"/>
  <c r="B1140" i="4"/>
  <c r="C1136" i="4"/>
  <c r="C1135" i="4"/>
  <c r="C1131" i="4"/>
  <c r="C1130" i="4"/>
  <c r="C1126" i="4"/>
  <c r="C1125" i="4"/>
  <c r="I1121" i="4"/>
  <c r="D1110" i="4"/>
  <c r="B1110" i="4"/>
  <c r="C1106" i="4"/>
  <c r="C1105" i="4"/>
  <c r="C1101" i="4"/>
  <c r="C1100" i="4"/>
  <c r="C1094" i="4"/>
  <c r="I1092" i="4"/>
  <c r="D969" i="4"/>
  <c r="B969" i="4"/>
  <c r="C961" i="4"/>
  <c r="B961" i="4"/>
  <c r="C960" i="4"/>
  <c r="C956" i="4"/>
  <c r="C955" i="4"/>
  <c r="C952" i="4"/>
  <c r="C951" i="4"/>
  <c r="I938" i="4"/>
  <c r="I918" i="4"/>
  <c r="I910" i="4"/>
  <c r="D901" i="4"/>
  <c r="B901" i="4"/>
  <c r="C898" i="4"/>
  <c r="C897" i="4"/>
  <c r="C893" i="4"/>
  <c r="C888" i="4"/>
  <c r="C887" i="4"/>
  <c r="C886" i="4"/>
  <c r="F882" i="4"/>
  <c r="F881" i="4"/>
  <c r="F880" i="4"/>
  <c r="I876" i="4"/>
  <c r="D860" i="4"/>
  <c r="B860" i="4"/>
  <c r="C857" i="4"/>
  <c r="C856" i="4"/>
  <c r="C852" i="4"/>
  <c r="C851" i="4"/>
  <c r="F832" i="4"/>
  <c r="I826" i="4"/>
  <c r="D817" i="4"/>
  <c r="B817" i="4"/>
  <c r="C814" i="4"/>
  <c r="B814" i="4"/>
  <c r="C813" i="4"/>
  <c r="C809" i="4"/>
  <c r="B809" i="4"/>
  <c r="C808" i="4"/>
  <c r="C793" i="4"/>
  <c r="C792" i="4"/>
  <c r="C786" i="4"/>
  <c r="F784" i="4"/>
  <c r="C784" i="4"/>
  <c r="I779" i="4"/>
  <c r="D768" i="4"/>
  <c r="B768" i="4"/>
  <c r="C765" i="4"/>
  <c r="C764" i="4"/>
  <c r="C760" i="4"/>
  <c r="C759" i="4"/>
  <c r="C755" i="4"/>
  <c r="C754" i="4"/>
  <c r="C753" i="4"/>
  <c r="C752" i="4"/>
  <c r="C751" i="4"/>
  <c r="C750" i="4"/>
  <c r="C749" i="4"/>
  <c r="C748" i="4"/>
  <c r="C747" i="4"/>
  <c r="C741" i="4"/>
  <c r="I736" i="4"/>
  <c r="D727" i="4"/>
  <c r="B727" i="4"/>
  <c r="C724" i="4"/>
  <c r="C723" i="4"/>
  <c r="C719" i="4"/>
  <c r="C718" i="4"/>
  <c r="C704" i="4"/>
  <c r="F698" i="4"/>
  <c r="C697" i="4"/>
  <c r="F696" i="4"/>
  <c r="I693" i="4"/>
  <c r="D647" i="4"/>
  <c r="B647" i="4"/>
  <c r="C644" i="4"/>
  <c r="B644" i="4"/>
  <c r="C643" i="4"/>
  <c r="C638" i="4"/>
  <c r="C634" i="4"/>
  <c r="C633" i="4"/>
  <c r="C632" i="4"/>
  <c r="C630" i="4"/>
  <c r="C629" i="4"/>
  <c r="C628" i="4"/>
  <c r="C627" i="4"/>
  <c r="C626" i="4"/>
  <c r="I614" i="4"/>
  <c r="D605" i="4"/>
  <c r="B605" i="4"/>
  <c r="C602" i="4"/>
  <c r="B602" i="4"/>
  <c r="C601" i="4"/>
  <c r="I580" i="4"/>
  <c r="D500" i="4"/>
  <c r="B500" i="4"/>
  <c r="C497" i="4"/>
  <c r="C496" i="4"/>
  <c r="C492" i="4"/>
  <c r="C491" i="4"/>
  <c r="C487" i="4"/>
  <c r="C486" i="4"/>
  <c r="C485" i="4"/>
  <c r="C484" i="4"/>
  <c r="F479" i="4"/>
  <c r="C479" i="4"/>
  <c r="F478" i="4"/>
  <c r="C478" i="4"/>
  <c r="I475" i="4"/>
  <c r="D463" i="4"/>
  <c r="B463" i="4"/>
  <c r="C460" i="4"/>
  <c r="C459" i="4"/>
  <c r="C455" i="4"/>
  <c r="C454" i="4"/>
  <c r="C450" i="4"/>
  <c r="C449" i="4"/>
  <c r="C448" i="4"/>
  <c r="C447" i="4"/>
  <c r="F442" i="4"/>
  <c r="C442" i="4"/>
  <c r="F441" i="4"/>
  <c r="C441" i="4"/>
  <c r="F440" i="4"/>
  <c r="C440" i="4"/>
  <c r="I440" i="4" s="1"/>
  <c r="I436" i="4"/>
  <c r="D425" i="4"/>
  <c r="B425" i="4"/>
  <c r="C422" i="4"/>
  <c r="B422" i="4"/>
  <c r="C421" i="4"/>
  <c r="C418" i="4"/>
  <c r="C417" i="4"/>
  <c r="C414" i="4"/>
  <c r="C413" i="4"/>
  <c r="C412" i="4"/>
  <c r="C411" i="4"/>
  <c r="F407" i="4"/>
  <c r="C407" i="4"/>
  <c r="F406" i="4"/>
  <c r="C406" i="4"/>
  <c r="I401" i="4"/>
  <c r="D387" i="4"/>
  <c r="B387" i="4"/>
  <c r="C384" i="4"/>
  <c r="C383" i="4"/>
  <c r="C379" i="4"/>
  <c r="B379" i="4"/>
  <c r="C378" i="4"/>
  <c r="C373" i="4"/>
  <c r="C372" i="4"/>
  <c r="C371" i="4"/>
  <c r="F366" i="4"/>
  <c r="C366" i="4"/>
  <c r="F365" i="4"/>
  <c r="C365" i="4"/>
  <c r="F364" i="4"/>
  <c r="C364" i="4"/>
  <c r="I361" i="4"/>
  <c r="D280" i="4"/>
  <c r="B280" i="4"/>
  <c r="C277" i="4"/>
  <c r="C276" i="4"/>
  <c r="C272" i="4"/>
  <c r="C271" i="4"/>
  <c r="C267" i="4"/>
  <c r="I267" i="4" s="1"/>
  <c r="C261" i="4"/>
  <c r="I255" i="4"/>
  <c r="D242" i="4"/>
  <c r="B242" i="4"/>
  <c r="C234" i="4"/>
  <c r="C233" i="4"/>
  <c r="I228" i="4"/>
  <c r="D212" i="4"/>
  <c r="B212" i="4"/>
  <c r="C209" i="4"/>
  <c r="C208" i="4"/>
  <c r="C204" i="4"/>
  <c r="C203" i="4"/>
  <c r="C198" i="4"/>
  <c r="I194" i="4"/>
  <c r="D181" i="4"/>
  <c r="B181" i="4"/>
  <c r="C178" i="4"/>
  <c r="C177" i="4"/>
  <c r="C173" i="4"/>
  <c r="C172" i="4"/>
  <c r="I161" i="4"/>
  <c r="D145" i="4"/>
  <c r="B145" i="4"/>
  <c r="C142" i="4"/>
  <c r="C141" i="4"/>
  <c r="C136" i="4"/>
  <c r="C135" i="4"/>
  <c r="C128" i="4"/>
  <c r="I122" i="4"/>
  <c r="D79" i="4"/>
  <c r="B79" i="4"/>
  <c r="C76" i="4"/>
  <c r="C75" i="4"/>
  <c r="C71" i="4"/>
  <c r="C70" i="4"/>
  <c r="I54" i="4"/>
  <c r="D43" i="4"/>
  <c r="C43" i="4"/>
  <c r="D34" i="4"/>
  <c r="B34" i="4"/>
  <c r="C31" i="4"/>
  <c r="C30" i="4"/>
  <c r="C26" i="4"/>
  <c r="C25" i="4"/>
  <c r="C20" i="4"/>
  <c r="C19" i="4"/>
  <c r="C18" i="4"/>
  <c r="C17" i="4"/>
  <c r="C15" i="4"/>
  <c r="E18" i="1"/>
  <c r="F139" i="1"/>
  <c r="F138" i="1"/>
  <c r="F137" i="1"/>
  <c r="F134" i="1"/>
  <c r="F132" i="1"/>
  <c r="F127" i="1"/>
  <c r="C143" i="1" s="1"/>
  <c r="E127" i="1"/>
  <c r="F108" i="1"/>
  <c r="E108" i="1"/>
  <c r="F80" i="1"/>
  <c r="E80" i="1"/>
  <c r="F18" i="1"/>
  <c r="H973" i="9" l="1"/>
  <c r="H934" i="9"/>
  <c r="H899" i="9"/>
  <c r="H861" i="9"/>
  <c r="H784" i="9"/>
  <c r="H747" i="9"/>
  <c r="H822" i="9"/>
  <c r="H595" i="9"/>
  <c r="H557" i="9"/>
  <c r="H1115" i="9"/>
  <c r="H672" i="9"/>
  <c r="H1190" i="9"/>
  <c r="H708" i="9"/>
  <c r="H634" i="9"/>
  <c r="H1083" i="9"/>
  <c r="H1306" i="9"/>
  <c r="H1381" i="9"/>
  <c r="H1342" i="9"/>
  <c r="H1158" i="9"/>
  <c r="H1119" i="9"/>
  <c r="H1417" i="9"/>
  <c r="H1194" i="9"/>
  <c r="H1493" i="9"/>
  <c r="H826" i="9"/>
  <c r="H903" i="9"/>
  <c r="H676" i="9"/>
  <c r="H866" i="9"/>
  <c r="H789" i="9"/>
  <c r="H599" i="9"/>
  <c r="H1077" i="9"/>
  <c r="H1300" i="9"/>
  <c r="H1152" i="9"/>
  <c r="H1375" i="9"/>
  <c r="H1224" i="9"/>
  <c r="H1447" i="9"/>
  <c r="H827" i="9"/>
  <c r="H677" i="9"/>
  <c r="H640" i="9"/>
  <c r="H867" i="9"/>
  <c r="H790" i="9"/>
  <c r="H600" i="9"/>
  <c r="H563" i="9"/>
  <c r="H1078" i="9"/>
  <c r="H1153" i="9"/>
  <c r="H1301" i="9"/>
  <c r="H1338" i="9"/>
  <c r="H1376" i="9"/>
  <c r="H1264" i="9"/>
  <c r="H1225" i="9"/>
  <c r="H1448" i="9"/>
  <c r="H1413" i="9"/>
  <c r="H1487" i="9"/>
  <c r="H1302" i="9"/>
  <c r="H1265" i="9"/>
  <c r="H1339" i="9"/>
  <c r="H1154" i="9"/>
  <c r="H1155" i="9" s="1"/>
  <c r="H1377" i="9"/>
  <c r="H1226" i="9"/>
  <c r="H1449" i="9"/>
  <c r="H1414" i="9"/>
  <c r="H1488" i="9"/>
  <c r="H1079" i="9"/>
  <c r="H823" i="9"/>
  <c r="H596" i="9"/>
  <c r="H558" i="9"/>
  <c r="H900" i="9"/>
  <c r="H1116" i="9"/>
  <c r="H1191" i="9"/>
  <c r="H974" i="9"/>
  <c r="H862" i="9"/>
  <c r="H635" i="9"/>
  <c r="H636" i="9" s="1"/>
  <c r="H748" i="9"/>
  <c r="H673" i="9"/>
  <c r="H709" i="9"/>
  <c r="H935" i="9"/>
  <c r="H785" i="9"/>
  <c r="H1047" i="9"/>
  <c r="H1272" i="9"/>
  <c r="H1456" i="9"/>
  <c r="H1233" i="9"/>
  <c r="H716" i="9"/>
  <c r="H981" i="9"/>
  <c r="H942" i="9"/>
  <c r="H755" i="9"/>
  <c r="H1013" i="9"/>
  <c r="I159" i="13"/>
  <c r="I9" i="13"/>
  <c r="I126" i="9"/>
  <c r="I15" i="15"/>
  <c r="J15" i="15" s="1"/>
  <c r="I91" i="15"/>
  <c r="J91" i="15" s="1"/>
  <c r="I239" i="15"/>
  <c r="I554" i="4"/>
  <c r="J554" i="4" s="1"/>
  <c r="I790" i="9"/>
  <c r="I640" i="9"/>
  <c r="I519" i="4"/>
  <c r="J519" i="4" s="1"/>
  <c r="I867" i="9"/>
  <c r="I600" i="9"/>
  <c r="J600" i="9" s="1"/>
  <c r="I677" i="9"/>
  <c r="I827" i="9"/>
  <c r="I563" i="9"/>
  <c r="J563" i="9" s="1"/>
  <c r="I166" i="13"/>
  <c r="J166" i="13" s="1"/>
  <c r="I16" i="13"/>
  <c r="J16" i="13" s="1"/>
  <c r="I325" i="4"/>
  <c r="I379" i="9"/>
  <c r="I164" i="9"/>
  <c r="I164" i="13"/>
  <c r="J164" i="13" s="1"/>
  <c r="I14" i="13"/>
  <c r="J14" i="13" s="1"/>
  <c r="I122" i="13"/>
  <c r="J122" i="13" s="1"/>
  <c r="I52" i="9"/>
  <c r="I37" i="14"/>
  <c r="I14" i="9"/>
  <c r="I58" i="9"/>
  <c r="I20" i="9"/>
  <c r="I1047" i="9"/>
  <c r="I167" i="15"/>
  <c r="J167" i="15" s="1"/>
  <c r="I56" i="15"/>
  <c r="J56" i="15" s="1"/>
  <c r="I556" i="4"/>
  <c r="J556" i="4" s="1"/>
  <c r="I204" i="15"/>
  <c r="J204" i="15" s="1"/>
  <c r="I1272" i="9"/>
  <c r="I1013" i="9"/>
  <c r="I1456" i="9"/>
  <c r="I755" i="9"/>
  <c r="I981" i="9"/>
  <c r="I241" i="15"/>
  <c r="J241" i="15" s="1"/>
  <c r="I277" i="15"/>
  <c r="J277" i="15" s="1"/>
  <c r="I17" i="15"/>
  <c r="J17" i="15" s="1"/>
  <c r="I93" i="15"/>
  <c r="J93" i="15" s="1"/>
  <c r="I1233" i="9"/>
  <c r="I131" i="15"/>
  <c r="J131" i="15" s="1"/>
  <c r="I716" i="9"/>
  <c r="I942" i="9"/>
  <c r="I196" i="15"/>
  <c r="I297" i="9"/>
  <c r="I1224" i="9"/>
  <c r="I1300" i="9"/>
  <c r="I1447" i="9"/>
  <c r="I1152" i="9"/>
  <c r="I411" i="9"/>
  <c r="I1375" i="9"/>
  <c r="I159" i="15"/>
  <c r="I1077" i="9"/>
  <c r="J55" i="9"/>
  <c r="I416" i="9"/>
  <c r="I165" i="15"/>
  <c r="I1493" i="9"/>
  <c r="I1381" i="9"/>
  <c r="I238" i="15"/>
  <c r="I903" i="9"/>
  <c r="I1083" i="9"/>
  <c r="I826" i="9"/>
  <c r="I518" i="4"/>
  <c r="I90" i="15"/>
  <c r="I1194" i="9"/>
  <c r="I639" i="9"/>
  <c r="I1119" i="9"/>
  <c r="I866" i="9"/>
  <c r="I553" i="4"/>
  <c r="I1342" i="9"/>
  <c r="I1417" i="9"/>
  <c r="I562" i="9"/>
  <c r="I1306" i="9"/>
  <c r="I789" i="9"/>
  <c r="I14" i="15"/>
  <c r="I599" i="9"/>
  <c r="I1158" i="9"/>
  <c r="I676" i="9"/>
  <c r="I1413" i="9"/>
  <c r="I1487" i="9"/>
  <c r="I270" i="15"/>
  <c r="I1153" i="9"/>
  <c r="I197" i="15"/>
  <c r="I412" i="9"/>
  <c r="I1301" i="9"/>
  <c r="I160" i="15"/>
  <c r="I333" i="9"/>
  <c r="I1264" i="9"/>
  <c r="I1448" i="9"/>
  <c r="I1078" i="9"/>
  <c r="I1338" i="9"/>
  <c r="I298" i="9"/>
  <c r="I448" i="9"/>
  <c r="I1225" i="9"/>
  <c r="I1376" i="9"/>
  <c r="I39" i="14"/>
  <c r="J39" i="14" s="1"/>
  <c r="I19" i="9"/>
  <c r="I57" i="9"/>
  <c r="J57" i="9" s="1"/>
  <c r="K17" i="9"/>
  <c r="J17" i="9"/>
  <c r="I262" i="9"/>
  <c r="I233" i="15"/>
  <c r="I413" i="9"/>
  <c r="I198" i="15"/>
  <c r="I1265" i="9"/>
  <c r="I161" i="15"/>
  <c r="I1339" i="9"/>
  <c r="I234" i="15"/>
  <c r="I334" i="9"/>
  <c r="I1079" i="9"/>
  <c r="I1449" i="9"/>
  <c r="I1226" i="9"/>
  <c r="I299" i="9"/>
  <c r="I1377" i="9"/>
  <c r="I1302" i="9"/>
  <c r="I271" i="15"/>
  <c r="I1414" i="9"/>
  <c r="I449" i="9"/>
  <c r="I1488" i="9"/>
  <c r="I1154" i="9"/>
  <c r="I94" i="9"/>
  <c r="I131" i="9"/>
  <c r="I263" i="9"/>
  <c r="I9" i="15"/>
  <c r="I513" i="4"/>
  <c r="I973" i="9"/>
  <c r="I784" i="9"/>
  <c r="I49" i="15"/>
  <c r="I85" i="15"/>
  <c r="I861" i="9"/>
  <c r="I1115" i="9"/>
  <c r="I124" i="15"/>
  <c r="I549" i="4"/>
  <c r="I595" i="9"/>
  <c r="I1190" i="9"/>
  <c r="I899" i="9"/>
  <c r="I708" i="9"/>
  <c r="I747" i="9"/>
  <c r="I934" i="9"/>
  <c r="I634" i="9"/>
  <c r="I557" i="9"/>
  <c r="I672" i="9"/>
  <c r="I822" i="9"/>
  <c r="I635" i="9"/>
  <c r="I86" i="15"/>
  <c r="I673" i="9"/>
  <c r="I10" i="15"/>
  <c r="I709" i="9"/>
  <c r="I862" i="9"/>
  <c r="I974" i="9"/>
  <c r="I1191" i="9"/>
  <c r="I748" i="9"/>
  <c r="I900" i="9"/>
  <c r="I785" i="9"/>
  <c r="I550" i="4"/>
  <c r="I1116" i="9"/>
  <c r="I823" i="9"/>
  <c r="I935" i="9"/>
  <c r="I558" i="9"/>
  <c r="I125" i="15"/>
  <c r="I514" i="4"/>
  <c r="I50" i="15"/>
  <c r="I596" i="9"/>
  <c r="J119" i="13"/>
  <c r="C145" i="1"/>
  <c r="D145" i="1" s="1"/>
  <c r="E145" i="1" s="1"/>
  <c r="I1563" i="4"/>
  <c r="F89" i="1"/>
  <c r="I72" i="14" s="1"/>
  <c r="I75" i="14" s="1"/>
  <c r="I81" i="14" s="1"/>
  <c r="I82" i="14" s="1"/>
  <c r="I83" i="14" s="1"/>
  <c r="I86" i="14" s="1"/>
  <c r="F142" i="19" s="1"/>
  <c r="F92" i="1"/>
  <c r="F93" i="1"/>
  <c r="I2098" i="4" s="1"/>
  <c r="I981" i="4"/>
  <c r="J981" i="4" s="1"/>
  <c r="I1060" i="4"/>
  <c r="J1060" i="4" s="1"/>
  <c r="I1058" i="4"/>
  <c r="J1058" i="4" s="1"/>
  <c r="I64" i="4"/>
  <c r="I1378" i="4"/>
  <c r="I63" i="4"/>
  <c r="I94" i="4"/>
  <c r="I57" i="4"/>
  <c r="R80" i="1"/>
  <c r="I1409" i="4"/>
  <c r="S86" i="1"/>
  <c r="F98" i="1" s="1"/>
  <c r="S87" i="1"/>
  <c r="I370" i="4"/>
  <c r="F87" i="1"/>
  <c r="C155" i="1"/>
  <c r="D155" i="1" s="1"/>
  <c r="E155" i="1" s="1"/>
  <c r="I1336" i="4"/>
  <c r="I697" i="4"/>
  <c r="I1299" i="4"/>
  <c r="I831" i="4"/>
  <c r="I785" i="4"/>
  <c r="I585" i="4"/>
  <c r="I619" i="4"/>
  <c r="I740" i="4"/>
  <c r="C152" i="1"/>
  <c r="D152" i="1" s="1"/>
  <c r="E152" i="1" s="1"/>
  <c r="I698" i="4"/>
  <c r="L698" i="4" s="1"/>
  <c r="I832" i="4"/>
  <c r="I586" i="4"/>
  <c r="C146" i="1"/>
  <c r="D146" i="1" s="1"/>
  <c r="I261" i="4"/>
  <c r="I108" i="4"/>
  <c r="I1695" i="4"/>
  <c r="I125" i="4"/>
  <c r="I1015" i="4"/>
  <c r="J1015" i="4" s="1"/>
  <c r="I941" i="4"/>
  <c r="J941" i="4" s="1"/>
  <c r="I1053" i="4"/>
  <c r="I696" i="4"/>
  <c r="C151" i="1"/>
  <c r="D151" i="1" s="1"/>
  <c r="E151" i="1" s="1"/>
  <c r="C154" i="1"/>
  <c r="D154" i="1" s="1"/>
  <c r="E154" i="1" s="1"/>
  <c r="I618" i="4"/>
  <c r="I584" i="4"/>
  <c r="C149" i="1"/>
  <c r="D149" i="1" s="1"/>
  <c r="E149" i="1" s="1"/>
  <c r="I1372" i="4"/>
  <c r="I260" i="4"/>
  <c r="C148" i="1"/>
  <c r="D148" i="1" s="1"/>
  <c r="E148" i="1" s="1"/>
  <c r="I371" i="4"/>
  <c r="J371" i="4" s="1"/>
  <c r="K122" i="1"/>
  <c r="K124" i="1" s="1"/>
  <c r="K126" i="1" s="1"/>
  <c r="F102" i="1" s="1"/>
  <c r="I62" i="4"/>
  <c r="I19" i="4"/>
  <c r="I130" i="4"/>
  <c r="I95" i="4"/>
  <c r="I1192" i="4"/>
  <c r="I478" i="4"/>
  <c r="I1228" i="4"/>
  <c r="F119" i="1"/>
  <c r="I365" i="4"/>
  <c r="I441" i="4"/>
  <c r="F118" i="1"/>
  <c r="I1779" i="4"/>
  <c r="J1779" i="4" s="1"/>
  <c r="P80" i="1"/>
  <c r="F86" i="1" s="1"/>
  <c r="I138" i="9" s="1"/>
  <c r="F70" i="1"/>
  <c r="I1777" i="4"/>
  <c r="F69" i="1"/>
  <c r="F73" i="1"/>
  <c r="I125" i="13" s="1"/>
  <c r="J125" i="13" s="1"/>
  <c r="F61" i="1"/>
  <c r="I518" i="9" s="1"/>
  <c r="F56" i="1"/>
  <c r="F55" i="1"/>
  <c r="F52" i="1"/>
  <c r="F50" i="1"/>
  <c r="F49" i="1"/>
  <c r="I126" i="13" s="1"/>
  <c r="J126" i="13" s="1"/>
  <c r="F44" i="1"/>
  <c r="F43" i="1"/>
  <c r="F38" i="1"/>
  <c r="F35" i="1"/>
  <c r="I54" i="15" s="1"/>
  <c r="I17" i="4"/>
  <c r="I888" i="4"/>
  <c r="J888" i="4" s="1"/>
  <c r="I1022" i="4"/>
  <c r="J1022" i="4" s="1"/>
  <c r="I2113" i="4"/>
  <c r="I1021" i="4"/>
  <c r="J1021" i="4" s="1"/>
  <c r="I1020" i="4"/>
  <c r="J1020" i="4" s="1"/>
  <c r="I813" i="4"/>
  <c r="I1034" i="4"/>
  <c r="I1459" i="4"/>
  <c r="J1459" i="4" s="1"/>
  <c r="I1200" i="4"/>
  <c r="J1200" i="4" s="1"/>
  <c r="I1345" i="4"/>
  <c r="J1345" i="4" s="1"/>
  <c r="I2043" i="4"/>
  <c r="J2043" i="4" s="1"/>
  <c r="I2254" i="4"/>
  <c r="F122" i="1"/>
  <c r="I344" i="9" s="1"/>
  <c r="I786" i="4"/>
  <c r="I1337" i="4"/>
  <c r="I1373" i="4"/>
  <c r="I20" i="4"/>
  <c r="I60" i="4"/>
  <c r="I741" i="4"/>
  <c r="I1300" i="4"/>
  <c r="I1335" i="4"/>
  <c r="I1410" i="4"/>
  <c r="I856" i="4"/>
  <c r="I1135" i="4"/>
  <c r="I1209" i="4"/>
  <c r="I1354" i="4"/>
  <c r="I1788" i="4"/>
  <c r="F116" i="1"/>
  <c r="I239" i="9" s="1"/>
  <c r="I30" i="4"/>
  <c r="I177" i="4"/>
  <c r="I276" i="4"/>
  <c r="I383" i="4"/>
  <c r="I496" i="4"/>
  <c r="I960" i="4"/>
  <c r="I1105" i="4"/>
  <c r="I1246" i="4"/>
  <c r="I1468" i="4"/>
  <c r="I1879" i="4"/>
  <c r="I946" i="4"/>
  <c r="F112" i="1"/>
  <c r="F123" i="1"/>
  <c r="I208" i="4"/>
  <c r="I723" i="4"/>
  <c r="I764" i="4"/>
  <c r="I897" i="4"/>
  <c r="I1173" i="4"/>
  <c r="I1280" i="4"/>
  <c r="I1630" i="4"/>
  <c r="F115" i="1"/>
  <c r="I238" i="9" s="1"/>
  <c r="I75" i="4"/>
  <c r="I643" i="4"/>
  <c r="I881" i="4"/>
  <c r="I886" i="4"/>
  <c r="I1155" i="4"/>
  <c r="I1298" i="4"/>
  <c r="I2170" i="4"/>
  <c r="I1072" i="4"/>
  <c r="I2031" i="4"/>
  <c r="I2172" i="4"/>
  <c r="I2030" i="4"/>
  <c r="I1193" i="4"/>
  <c r="I1229" i="4"/>
  <c r="I407" i="4"/>
  <c r="I1264" i="4"/>
  <c r="I366" i="4"/>
  <c r="I442" i="4"/>
  <c r="I882" i="4"/>
  <c r="I1156" i="4"/>
  <c r="I406" i="4"/>
  <c r="I479" i="4"/>
  <c r="I784" i="4"/>
  <c r="I1263" i="4"/>
  <c r="I141" i="4"/>
  <c r="I421" i="4"/>
  <c r="I459" i="4"/>
  <c r="I601" i="4"/>
  <c r="I1317" i="4"/>
  <c r="I1391" i="4"/>
  <c r="I1427" i="4"/>
  <c r="I1723" i="4"/>
  <c r="I1000" i="4"/>
  <c r="I2028" i="4"/>
  <c r="I799" i="4"/>
  <c r="J799" i="4" s="1"/>
  <c r="I709" i="4"/>
  <c r="J709" i="4" s="1"/>
  <c r="I630" i="4"/>
  <c r="J630" i="4" s="1"/>
  <c r="I589" i="4"/>
  <c r="I1377" i="4"/>
  <c r="I703" i="4"/>
  <c r="I1620" i="4"/>
  <c r="I2112" i="4"/>
  <c r="I1161" i="4"/>
  <c r="J1161" i="4" s="1"/>
  <c r="I746" i="4"/>
  <c r="J746" i="4" s="1"/>
  <c r="I1234" i="4"/>
  <c r="J1234" i="4" s="1"/>
  <c r="I2111" i="4"/>
  <c r="I410" i="4"/>
  <c r="I839" i="4"/>
  <c r="J839" i="4" s="1"/>
  <c r="I591" i="4"/>
  <c r="J591" i="4" s="1"/>
  <c r="I706" i="4"/>
  <c r="J706" i="4" s="1"/>
  <c r="I796" i="4"/>
  <c r="J796" i="4" s="1"/>
  <c r="I199" i="4"/>
  <c r="J199" i="4" s="1"/>
  <c r="I411" i="4"/>
  <c r="J411" i="4" s="1"/>
  <c r="I486" i="4"/>
  <c r="J486" i="4" s="1"/>
  <c r="I748" i="4"/>
  <c r="J748" i="4" s="1"/>
  <c r="I1233" i="4"/>
  <c r="I1343" i="4"/>
  <c r="J1343" i="4" s="1"/>
  <c r="I1380" i="4"/>
  <c r="J1380" i="4" s="1"/>
  <c r="I1416" i="4"/>
  <c r="J1416" i="4" s="1"/>
  <c r="I745" i="4"/>
  <c r="I842" i="4"/>
  <c r="J842" i="4" s="1"/>
  <c r="I487" i="4"/>
  <c r="J487" i="4" s="1"/>
  <c r="I627" i="4"/>
  <c r="J627" i="4" s="1"/>
  <c r="I704" i="4"/>
  <c r="J704" i="4" s="1"/>
  <c r="I1199" i="4"/>
  <c r="J1199" i="4" s="1"/>
  <c r="I1304" i="4"/>
  <c r="I1778" i="4"/>
  <c r="J1778" i="4" s="1"/>
  <c r="I2184" i="4"/>
  <c r="I948" i="4"/>
  <c r="I947" i="4"/>
  <c r="I413" i="4"/>
  <c r="J413" i="4" s="1"/>
  <c r="I1236" i="4"/>
  <c r="J1236" i="4" s="1"/>
  <c r="I2185" i="4"/>
  <c r="J2106" i="4" s="1"/>
  <c r="I128" i="4"/>
  <c r="J128" i="4" s="1"/>
  <c r="I166" i="4"/>
  <c r="J166" i="4" s="1"/>
  <c r="I373" i="4"/>
  <c r="J373" i="4" s="1"/>
  <c r="I414" i="4"/>
  <c r="J414" i="4" s="1"/>
  <c r="I449" i="4"/>
  <c r="J449" i="4" s="1"/>
  <c r="I751" i="4"/>
  <c r="J751" i="4" s="1"/>
  <c r="I1163" i="4"/>
  <c r="J1163" i="4" s="1"/>
  <c r="I1270" i="4"/>
  <c r="J1270" i="4" s="1"/>
  <c r="I1306" i="4"/>
  <c r="J1306" i="4" s="1"/>
  <c r="I1458" i="4"/>
  <c r="J1458" i="4" s="1"/>
  <c r="I2255" i="4"/>
  <c r="J2158" i="4" s="1"/>
  <c r="I1160" i="4"/>
  <c r="I2038" i="4"/>
  <c r="I2180" i="4"/>
  <c r="I164" i="4"/>
  <c r="I1543" i="4"/>
  <c r="I1544" i="4" s="1"/>
  <c r="I1547" i="4" s="1"/>
  <c r="I1548" i="4" s="1"/>
  <c r="I1549" i="4" s="1"/>
  <c r="I1551" i="4" s="1"/>
  <c r="I749" i="4"/>
  <c r="J749" i="4" s="1"/>
  <c r="I70" i="4"/>
  <c r="I2173" i="4"/>
  <c r="I172" i="4"/>
  <c r="I1154" i="4"/>
  <c r="I880" i="4"/>
  <c r="I364" i="4"/>
  <c r="I1191" i="4"/>
  <c r="F152" i="1"/>
  <c r="I1382" i="4"/>
  <c r="I18" i="4"/>
  <c r="I628" i="4"/>
  <c r="I1126" i="4"/>
  <c r="I1237" i="4"/>
  <c r="I1621" i="4"/>
  <c r="I2171" i="4"/>
  <c r="J267" i="4"/>
  <c r="I1095" i="4"/>
  <c r="I840" i="4"/>
  <c r="I592" i="4"/>
  <c r="I797" i="4"/>
  <c r="I1308" i="4"/>
  <c r="I1714" i="4"/>
  <c r="I2186" i="4"/>
  <c r="I1963" i="4"/>
  <c r="J1963" i="4" s="1"/>
  <c r="I1418" i="4"/>
  <c r="J1418" i="4" s="1"/>
  <c r="I707" i="4"/>
  <c r="I984" i="4"/>
  <c r="I14" i="4"/>
  <c r="I450" i="4"/>
  <c r="I1164" i="4"/>
  <c r="I1271" i="4"/>
  <c r="J1271" i="4" s="1"/>
  <c r="I1456" i="4"/>
  <c r="I1995" i="4"/>
  <c r="H1266" i="9" l="1"/>
  <c r="H674" i="9"/>
  <c r="H1192" i="9"/>
  <c r="H1489" i="9"/>
  <c r="H1340" i="9"/>
  <c r="H1450" i="9"/>
  <c r="H1227" i="9"/>
  <c r="H824" i="9"/>
  <c r="H786" i="9"/>
  <c r="H1378" i="9"/>
  <c r="H597" i="9"/>
  <c r="H1505" i="9"/>
  <c r="H1506" i="9" s="1"/>
  <c r="H610" i="9"/>
  <c r="H611" i="9" s="1"/>
  <c r="H913" i="9"/>
  <c r="H914" i="9" s="1"/>
  <c r="H837" i="9"/>
  <c r="H838" i="9" s="1"/>
  <c r="H803" i="9"/>
  <c r="H804" i="9" s="1"/>
  <c r="H766" i="9"/>
  <c r="H767" i="9" s="1"/>
  <c r="H576" i="9"/>
  <c r="H577" i="9" s="1"/>
  <c r="H1024" i="9"/>
  <c r="H1025" i="9" s="1"/>
  <c r="H992" i="9"/>
  <c r="H993" i="9" s="1"/>
  <c r="H880" i="9"/>
  <c r="H881" i="9" s="1"/>
  <c r="H727" i="9"/>
  <c r="H728" i="9" s="1"/>
  <c r="H1427" i="9"/>
  <c r="H1428" i="9" s="1"/>
  <c r="H1319" i="9"/>
  <c r="H1320" i="9" s="1"/>
  <c r="H1096" i="9"/>
  <c r="H1097" i="9" s="1"/>
  <c r="H1058" i="9"/>
  <c r="H1059" i="9" s="1"/>
  <c r="H1283" i="9"/>
  <c r="H1284" i="9" s="1"/>
  <c r="H1244" i="9"/>
  <c r="H1245" i="9" s="1"/>
  <c r="H1129" i="9"/>
  <c r="H1130" i="9" s="1"/>
  <c r="H653" i="9"/>
  <c r="H654" i="9" s="1"/>
  <c r="H1394" i="9"/>
  <c r="H1395" i="9" s="1"/>
  <c r="H1352" i="9"/>
  <c r="H1353" i="9" s="1"/>
  <c r="H1204" i="9"/>
  <c r="H1205" i="9" s="1"/>
  <c r="H1171" i="9"/>
  <c r="H1172" i="9" s="1"/>
  <c r="H953" i="9"/>
  <c r="H954" i="9" s="1"/>
  <c r="H687" i="9"/>
  <c r="H688" i="9" s="1"/>
  <c r="H1467" i="9"/>
  <c r="H1468" i="9" s="1"/>
  <c r="H1117" i="9"/>
  <c r="H1303" i="9"/>
  <c r="H559" i="9"/>
  <c r="H1080" i="9"/>
  <c r="H749" i="9"/>
  <c r="H1415" i="9"/>
  <c r="H901" i="9"/>
  <c r="H1084" i="9"/>
  <c r="H1086" i="9" s="1"/>
  <c r="H1307" i="9"/>
  <c r="H1309" i="9" s="1"/>
  <c r="H1046" i="9"/>
  <c r="H1049" i="9" s="1"/>
  <c r="H1232" i="9"/>
  <c r="H1235" i="9" s="1"/>
  <c r="H1195" i="9"/>
  <c r="H1197" i="9" s="1"/>
  <c r="H1455" i="9"/>
  <c r="H1458" i="9" s="1"/>
  <c r="H1418" i="9"/>
  <c r="H1420" i="9" s="1"/>
  <c r="H1343" i="9"/>
  <c r="H1345" i="9" s="1"/>
  <c r="H1120" i="9"/>
  <c r="H1122" i="9" s="1"/>
  <c r="H1494" i="9"/>
  <c r="H1496" i="9" s="1"/>
  <c r="H678" i="9"/>
  <c r="H680" i="9" s="1"/>
  <c r="H641" i="9"/>
  <c r="H643" i="9" s="1"/>
  <c r="H1271" i="9"/>
  <c r="H1274" i="9" s="1"/>
  <c r="H904" i="9"/>
  <c r="H906" i="9" s="1"/>
  <c r="H868" i="9"/>
  <c r="H870" i="9" s="1"/>
  <c r="H791" i="9"/>
  <c r="H793" i="9" s="1"/>
  <c r="H715" i="9"/>
  <c r="H718" i="9" s="1"/>
  <c r="H601" i="9"/>
  <c r="H603" i="9" s="1"/>
  <c r="H1382" i="9"/>
  <c r="H1384" i="9" s="1"/>
  <c r="H980" i="9"/>
  <c r="H983" i="9" s="1"/>
  <c r="H941" i="9"/>
  <c r="H944" i="9" s="1"/>
  <c r="H828" i="9"/>
  <c r="H830" i="9" s="1"/>
  <c r="H754" i="9"/>
  <c r="H757" i="9" s="1"/>
  <c r="H564" i="9"/>
  <c r="H566" i="9" s="1"/>
  <c r="H1012" i="9"/>
  <c r="H1015" i="9" s="1"/>
  <c r="H1159" i="9"/>
  <c r="H1161" i="9" s="1"/>
  <c r="H936" i="9"/>
  <c r="H863" i="9"/>
  <c r="H710" i="9"/>
  <c r="H975" i="9"/>
  <c r="H142" i="19"/>
  <c r="I142" i="19" s="1"/>
  <c r="K142" i="19" s="1"/>
  <c r="L142" i="19" s="1"/>
  <c r="M142" i="19" s="1"/>
  <c r="N142" i="19" s="1"/>
  <c r="G142" i="19"/>
  <c r="I2029" i="4"/>
  <c r="I2032" i="4" s="1"/>
  <c r="I184" i="13"/>
  <c r="I143" i="13"/>
  <c r="I33" i="13"/>
  <c r="I105" i="14"/>
  <c r="I422" i="9"/>
  <c r="I25" i="9"/>
  <c r="I1199" i="9"/>
  <c r="I605" i="9"/>
  <c r="I797" i="9"/>
  <c r="I387" i="9"/>
  <c r="I64" i="13"/>
  <c r="I98" i="15"/>
  <c r="I172" i="9"/>
  <c r="I721" i="9"/>
  <c r="I493" i="9"/>
  <c r="I1313" i="9"/>
  <c r="I526" i="4"/>
  <c r="I202" i="9"/>
  <c r="I1018" i="9"/>
  <c r="I173" i="15"/>
  <c r="I309" i="9"/>
  <c r="I283" i="15"/>
  <c r="I102" i="9"/>
  <c r="I1124" i="9"/>
  <c r="I91" i="13"/>
  <c r="I333" i="4"/>
  <c r="I647" i="9"/>
  <c r="I832" i="9"/>
  <c r="I1090" i="9"/>
  <c r="I129" i="13"/>
  <c r="I560" i="4"/>
  <c r="I1052" i="9"/>
  <c r="I1347" i="9"/>
  <c r="I247" i="15"/>
  <c r="I667" i="4"/>
  <c r="I273" i="9"/>
  <c r="I1499" i="9"/>
  <c r="I60" i="13"/>
  <c r="I210" i="15"/>
  <c r="I682" i="9"/>
  <c r="I1388" i="9"/>
  <c r="I95" i="13"/>
  <c r="I136" i="15"/>
  <c r="I1165" i="9"/>
  <c r="I133" i="13"/>
  <c r="I233" i="9"/>
  <c r="I136" i="9"/>
  <c r="I570" i="9"/>
  <c r="I760" i="9"/>
  <c r="I908" i="9"/>
  <c r="I1422" i="9"/>
  <c r="I23" i="13"/>
  <c r="I169" i="13"/>
  <c r="I22" i="15"/>
  <c r="I138" i="14"/>
  <c r="I1461" i="9"/>
  <c r="I461" i="9"/>
  <c r="I1277" i="9"/>
  <c r="I44" i="14"/>
  <c r="I61" i="15"/>
  <c r="I947" i="9"/>
  <c r="I524" i="9"/>
  <c r="I1238" i="9"/>
  <c r="I19" i="13"/>
  <c r="I173" i="13"/>
  <c r="I65" i="9"/>
  <c r="I874" i="9"/>
  <c r="I986" i="9"/>
  <c r="F142" i="17"/>
  <c r="F142" i="5"/>
  <c r="K142" i="5" s="1"/>
  <c r="F142" i="18"/>
  <c r="I88" i="14"/>
  <c r="I936" i="9"/>
  <c r="I240" i="9"/>
  <c r="I636" i="9"/>
  <c r="I1340" i="9"/>
  <c r="I786" i="9"/>
  <c r="I51" i="15"/>
  <c r="I1489" i="9"/>
  <c r="I1415" i="9"/>
  <c r="I235" i="15"/>
  <c r="I60" i="9"/>
  <c r="I710" i="9"/>
  <c r="I264" i="9"/>
  <c r="I901" i="9"/>
  <c r="I11" i="15"/>
  <c r="I1266" i="9"/>
  <c r="I824" i="9"/>
  <c r="I515" i="4"/>
  <c r="I749" i="9"/>
  <c r="J599" i="9"/>
  <c r="J90" i="15"/>
  <c r="I1080" i="9"/>
  <c r="J164" i="9"/>
  <c r="I124" i="13"/>
  <c r="J124" i="13" s="1"/>
  <c r="I519" i="9"/>
  <c r="I521" i="9" s="1"/>
  <c r="I1192" i="9"/>
  <c r="I335" i="9"/>
  <c r="J14" i="15"/>
  <c r="J518" i="4"/>
  <c r="I162" i="15"/>
  <c r="J379" i="9"/>
  <c r="J54" i="15"/>
  <c r="J165" i="15"/>
  <c r="I597" i="9"/>
  <c r="I1378" i="9"/>
  <c r="J325" i="4"/>
  <c r="I551" i="4"/>
  <c r="J19" i="9"/>
  <c r="K19" i="9"/>
  <c r="I414" i="9"/>
  <c r="I975" i="9"/>
  <c r="I126" i="15"/>
  <c r="J562" i="9"/>
  <c r="I1155" i="9"/>
  <c r="K20" i="9"/>
  <c r="J20" i="9"/>
  <c r="J416" i="9"/>
  <c r="I123" i="13"/>
  <c r="J123" i="13" s="1"/>
  <c r="I15" i="9"/>
  <c r="I21" i="9" s="1"/>
  <c r="I53" i="9"/>
  <c r="I38" i="14"/>
  <c r="J38" i="14" s="1"/>
  <c r="I1117" i="9"/>
  <c r="J238" i="15"/>
  <c r="I1450" i="9"/>
  <c r="J126" i="9"/>
  <c r="I300" i="9"/>
  <c r="I199" i="15"/>
  <c r="F149" i="1"/>
  <c r="I88" i="13"/>
  <c r="I89" i="13" s="1"/>
  <c r="I57" i="13"/>
  <c r="I1494" i="9"/>
  <c r="I1496" i="9" s="1"/>
  <c r="I1455" i="9"/>
  <c r="I1458" i="9" s="1"/>
  <c r="I121" i="13"/>
  <c r="I11" i="13"/>
  <c r="J11" i="13" s="1"/>
  <c r="I417" i="9"/>
  <c r="J417" i="9" s="1"/>
  <c r="I161" i="13"/>
  <c r="J161" i="13" s="1"/>
  <c r="I456" i="9"/>
  <c r="I828" i="9"/>
  <c r="I830" i="9" s="1"/>
  <c r="I92" i="15"/>
  <c r="J92" i="15" s="1"/>
  <c r="I1012" i="9"/>
  <c r="I1015" i="9" s="1"/>
  <c r="I601" i="9"/>
  <c r="J601" i="9" s="1"/>
  <c r="I1307" i="9"/>
  <c r="I1309" i="9" s="1"/>
  <c r="I520" i="4"/>
  <c r="J520" i="4" s="1"/>
  <c r="I16" i="15"/>
  <c r="J16" i="15" s="1"/>
  <c r="I1084" i="9"/>
  <c r="I1086" i="9" s="1"/>
  <c r="I95" i="9"/>
  <c r="J95" i="9" s="1"/>
  <c r="I197" i="9"/>
  <c r="I754" i="9"/>
  <c r="I757" i="9" s="1"/>
  <c r="I130" i="15"/>
  <c r="I662" i="4"/>
  <c r="I664" i="4" s="1"/>
  <c r="I1120" i="9"/>
  <c r="I1122" i="9" s="1"/>
  <c r="I203" i="15"/>
  <c r="I276" i="15"/>
  <c r="I166" i="15"/>
  <c r="J166" i="15" s="1"/>
  <c r="I326" i="4"/>
  <c r="J326" i="4" s="1"/>
  <c r="I980" i="9"/>
  <c r="I983" i="9" s="1"/>
  <c r="I715" i="9"/>
  <c r="I718" i="9" s="1"/>
  <c r="I1418" i="9"/>
  <c r="I1420" i="9" s="1"/>
  <c r="I941" i="9"/>
  <c r="I944" i="9" s="1"/>
  <c r="I1159" i="9"/>
  <c r="I1161" i="9" s="1"/>
  <c r="I1195" i="9"/>
  <c r="I1197" i="9" s="1"/>
  <c r="I130" i="9"/>
  <c r="I641" i="9"/>
  <c r="I643" i="9" s="1"/>
  <c r="I488" i="9"/>
  <c r="I490" i="9" s="1"/>
  <c r="I904" i="9"/>
  <c r="I906" i="9" s="1"/>
  <c r="I339" i="9"/>
  <c r="I341" i="9" s="1"/>
  <c r="I1271" i="9"/>
  <c r="I1274" i="9" s="1"/>
  <c r="I165" i="9"/>
  <c r="J165" i="9" s="1"/>
  <c r="I1046" i="9"/>
  <c r="I1049" i="9" s="1"/>
  <c r="I240" i="15"/>
  <c r="J240" i="15" s="1"/>
  <c r="I564" i="9"/>
  <c r="J564" i="9" s="1"/>
  <c r="I1343" i="9"/>
  <c r="I1345" i="9" s="1"/>
  <c r="I380" i="9"/>
  <c r="J380" i="9" s="1"/>
  <c r="I791" i="9"/>
  <c r="I793" i="9" s="1"/>
  <c r="I268" i="9"/>
  <c r="I1382" i="9"/>
  <c r="I1384" i="9" s="1"/>
  <c r="I555" i="4"/>
  <c r="J555" i="4" s="1"/>
  <c r="I678" i="9"/>
  <c r="I680" i="9" s="1"/>
  <c r="I304" i="9"/>
  <c r="I306" i="9" s="1"/>
  <c r="I1232" i="9"/>
  <c r="I1235" i="9" s="1"/>
  <c r="I868" i="9"/>
  <c r="I870" i="9" s="1"/>
  <c r="I55" i="15"/>
  <c r="J55" i="15" s="1"/>
  <c r="I297" i="4"/>
  <c r="I163" i="13"/>
  <c r="J163" i="13" s="1"/>
  <c r="I13" i="13"/>
  <c r="J13" i="13" s="1"/>
  <c r="I674" i="9"/>
  <c r="I863" i="9"/>
  <c r="I1303" i="9"/>
  <c r="K14" i="9"/>
  <c r="J14" i="9"/>
  <c r="J9" i="13"/>
  <c r="I162" i="13"/>
  <c r="J162" i="13" s="1"/>
  <c r="I242" i="15"/>
  <c r="J242" i="15" s="1"/>
  <c r="I205" i="15"/>
  <c r="J205" i="15" s="1"/>
  <c r="I278" i="15"/>
  <c r="J278" i="15" s="1"/>
  <c r="I168" i="15"/>
  <c r="J168" i="15" s="1"/>
  <c r="I127" i="9"/>
  <c r="J127" i="9" s="1"/>
  <c r="I12" i="13"/>
  <c r="J12" i="13" s="1"/>
  <c r="I92" i="9"/>
  <c r="I307" i="4"/>
  <c r="I308" i="4" s="1"/>
  <c r="I111" i="14"/>
  <c r="I112" i="14" s="1"/>
  <c r="I253" i="15"/>
  <c r="I254" i="15" s="1"/>
  <c r="I178" i="9"/>
  <c r="I179" i="9" s="1"/>
  <c r="I179" i="15"/>
  <c r="I180" i="15" s="1"/>
  <c r="I143" i="9"/>
  <c r="I144" i="9" s="1"/>
  <c r="I31" i="9"/>
  <c r="I32" i="9" s="1"/>
  <c r="I1394" i="9"/>
  <c r="I1395" i="9" s="1"/>
  <c r="I428" i="9"/>
  <c r="I429" i="9" s="1"/>
  <c r="I803" i="9"/>
  <c r="I804" i="9" s="1"/>
  <c r="I766" i="9"/>
  <c r="I767" i="9" s="1"/>
  <c r="I1467" i="9"/>
  <c r="I1468" i="9" s="1"/>
  <c r="I467" i="9"/>
  <c r="I468" i="9" s="1"/>
  <c r="I610" i="9"/>
  <c r="I611" i="9" s="1"/>
  <c r="I687" i="9"/>
  <c r="I688" i="9" s="1"/>
  <c r="I315" i="9"/>
  <c r="I316" i="9" s="1"/>
  <c r="I144" i="14"/>
  <c r="I145" i="14" s="1"/>
  <c r="I216" i="15"/>
  <c r="I217" i="15" s="1"/>
  <c r="I101" i="13"/>
  <c r="I102" i="13" s="1"/>
  <c r="I880" i="9"/>
  <c r="I881" i="9" s="1"/>
  <c r="I953" i="9"/>
  <c r="I954" i="9" s="1"/>
  <c r="I1283" i="9"/>
  <c r="I1284" i="9" s="1"/>
  <c r="I104" i="15"/>
  <c r="I105" i="15" s="1"/>
  <c r="I1204" i="9"/>
  <c r="I1205" i="9" s="1"/>
  <c r="I727" i="9"/>
  <c r="I728" i="9" s="1"/>
  <c r="I67" i="15"/>
  <c r="I68" i="15" s="1"/>
  <c r="I70" i="13"/>
  <c r="I71" i="13" s="1"/>
  <c r="I565" i="4"/>
  <c r="I566" i="4" s="1"/>
  <c r="I1427" i="9"/>
  <c r="I1428" i="9" s="1"/>
  <c r="I208" i="9"/>
  <c r="I209" i="9" s="1"/>
  <c r="I576" i="9"/>
  <c r="I577" i="9" s="1"/>
  <c r="I289" i="15"/>
  <c r="I290" i="15" s="1"/>
  <c r="I29" i="13"/>
  <c r="I30" i="13" s="1"/>
  <c r="I71" i="9"/>
  <c r="I72" i="9" s="1"/>
  <c r="I108" i="9"/>
  <c r="I109" i="9" s="1"/>
  <c r="I339" i="4"/>
  <c r="I340" i="4" s="1"/>
  <c r="I992" i="9"/>
  <c r="I993" i="9" s="1"/>
  <c r="I837" i="9"/>
  <c r="I838" i="9" s="1"/>
  <c r="I350" i="9"/>
  <c r="I351" i="9" s="1"/>
  <c r="I1129" i="9"/>
  <c r="I1130" i="9" s="1"/>
  <c r="I28" i="15"/>
  <c r="I29" i="15" s="1"/>
  <c r="I1171" i="9"/>
  <c r="I1172" i="9" s="1"/>
  <c r="I393" i="9"/>
  <c r="I394" i="9" s="1"/>
  <c r="I1244" i="9"/>
  <c r="I1245" i="9" s="1"/>
  <c r="I673" i="4"/>
  <c r="I674" i="4" s="1"/>
  <c r="I653" i="9"/>
  <c r="I654" i="9" s="1"/>
  <c r="I530" i="9"/>
  <c r="I531" i="9" s="1"/>
  <c r="I499" i="9"/>
  <c r="I500" i="9" s="1"/>
  <c r="I179" i="13"/>
  <c r="I180" i="13" s="1"/>
  <c r="I142" i="15"/>
  <c r="I143" i="15" s="1"/>
  <c r="I1505" i="9"/>
  <c r="I1506" i="9" s="1"/>
  <c r="I1319" i="9"/>
  <c r="I1320" i="9" s="1"/>
  <c r="I1058" i="9"/>
  <c r="I1059" i="9" s="1"/>
  <c r="I1024" i="9"/>
  <c r="I1025" i="9" s="1"/>
  <c r="I532" i="4"/>
  <c r="I533" i="4" s="1"/>
  <c r="I50" i="14"/>
  <c r="I51" i="14" s="1"/>
  <c r="I279" i="9"/>
  <c r="I280" i="9" s="1"/>
  <c r="I1096" i="9"/>
  <c r="I1097" i="9" s="1"/>
  <c r="I139" i="13"/>
  <c r="I140" i="13" s="1"/>
  <c r="I1352" i="9"/>
  <c r="I1353" i="9" s="1"/>
  <c r="I913" i="9"/>
  <c r="I914" i="9" s="1"/>
  <c r="I559" i="9"/>
  <c r="I87" i="15"/>
  <c r="I450" i="9"/>
  <c r="I272" i="15"/>
  <c r="J553" i="4"/>
  <c r="I1227" i="9"/>
  <c r="J37" i="14"/>
  <c r="J159" i="13"/>
  <c r="J987" i="4"/>
  <c r="I296" i="4"/>
  <c r="I2121" i="4"/>
  <c r="I301" i="4"/>
  <c r="I1204" i="4"/>
  <c r="I951" i="4"/>
  <c r="I596" i="4"/>
  <c r="I2259" i="4"/>
  <c r="I233" i="4"/>
  <c r="I808" i="4"/>
  <c r="I851" i="4"/>
  <c r="I1349" i="4"/>
  <c r="I203" i="4"/>
  <c r="I1063" i="4"/>
  <c r="I1783" i="4"/>
  <c r="I955" i="4"/>
  <c r="I1936" i="4"/>
  <c r="I2192" i="4"/>
  <c r="I417" i="4"/>
  <c r="I2000" i="4"/>
  <c r="I1905" i="4"/>
  <c r="I1422" i="4"/>
  <c r="I378" i="4"/>
  <c r="I1718" i="4"/>
  <c r="I25" i="4"/>
  <c r="I1275" i="4"/>
  <c r="I454" i="4"/>
  <c r="I1562" i="4"/>
  <c r="I1565" i="4" s="1"/>
  <c r="I1569" i="4" s="1"/>
  <c r="I1570" i="4" s="1"/>
  <c r="I1571" i="4" s="1"/>
  <c r="I1574" i="4" s="1"/>
  <c r="I2100" i="4"/>
  <c r="I2101" i="4" s="1"/>
  <c r="K2101" i="4" s="1"/>
  <c r="F155" i="1"/>
  <c r="I1696" i="4"/>
  <c r="I1697" i="4" s="1"/>
  <c r="I986" i="4"/>
  <c r="J986" i="4" s="1"/>
  <c r="I1094" i="4"/>
  <c r="J1094" i="4" s="1"/>
  <c r="I708" i="4"/>
  <c r="J708" i="4" s="1"/>
  <c r="I802" i="4"/>
  <c r="J802" i="4" s="1"/>
  <c r="I713" i="4"/>
  <c r="J713" i="4" s="1"/>
  <c r="I711" i="4"/>
  <c r="J711" i="4" s="1"/>
  <c r="I1497" i="4"/>
  <c r="I988" i="4"/>
  <c r="J988" i="4" s="1"/>
  <c r="I1078" i="4"/>
  <c r="I1039" i="4"/>
  <c r="I965" i="4"/>
  <c r="I135" i="4"/>
  <c r="I491" i="4"/>
  <c r="I1874" i="4"/>
  <c r="I995" i="4"/>
  <c r="I1386" i="4"/>
  <c r="I718" i="4"/>
  <c r="I1100" i="4"/>
  <c r="I638" i="4"/>
  <c r="I1968" i="4"/>
  <c r="I1067" i="4"/>
  <c r="I759" i="4"/>
  <c r="I1130" i="4"/>
  <c r="I1625" i="4"/>
  <c r="F85" i="1"/>
  <c r="S80" i="1"/>
  <c r="F99" i="1" s="1"/>
  <c r="I1411" i="4"/>
  <c r="I1029" i="4"/>
  <c r="I1168" i="4"/>
  <c r="I2049" i="4"/>
  <c r="I1312" i="4"/>
  <c r="I991" i="4"/>
  <c r="I1241" i="4"/>
  <c r="I271" i="4"/>
  <c r="I1463" i="4"/>
  <c r="I1025" i="4"/>
  <c r="I742" i="4"/>
  <c r="I1374" i="4"/>
  <c r="I262" i="4"/>
  <c r="I699" i="4"/>
  <c r="I620" i="4"/>
  <c r="I587" i="4"/>
  <c r="I833" i="4"/>
  <c r="I1019" i="4"/>
  <c r="J1019" i="4" s="1"/>
  <c r="I1057" i="4"/>
  <c r="J1057" i="4" s="1"/>
  <c r="I126" i="4"/>
  <c r="J126" i="4" s="1"/>
  <c r="I982" i="4"/>
  <c r="J982" i="4" s="1"/>
  <c r="I1685" i="4"/>
  <c r="I1018" i="4"/>
  <c r="J1018" i="4" s="1"/>
  <c r="I1056" i="4"/>
  <c r="J1056" i="4" s="1"/>
  <c r="J1053" i="4"/>
  <c r="I96" i="4"/>
  <c r="J96" i="4" s="1"/>
  <c r="I1017" i="4"/>
  <c r="J1017" i="4" s="1"/>
  <c r="I943" i="4"/>
  <c r="J943" i="4" s="1"/>
  <c r="I1055" i="4"/>
  <c r="J1055" i="4" s="1"/>
  <c r="I983" i="4"/>
  <c r="J983" i="4" s="1"/>
  <c r="I1686" i="4"/>
  <c r="J1686" i="4" s="1"/>
  <c r="I892" i="4"/>
  <c r="I1690" i="4"/>
  <c r="I97" i="4"/>
  <c r="J97" i="4" s="1"/>
  <c r="I16" i="4"/>
  <c r="I103" i="4"/>
  <c r="I1492" i="4"/>
  <c r="F151" i="1"/>
  <c r="I792" i="4"/>
  <c r="I1880" i="4"/>
  <c r="I1881" i="4" s="1"/>
  <c r="I109" i="4"/>
  <c r="I110" i="4" s="1"/>
  <c r="I2130" i="4"/>
  <c r="I1498" i="4"/>
  <c r="I93" i="4"/>
  <c r="I408" i="4"/>
  <c r="I2042" i="4"/>
  <c r="J2042" i="4" s="1"/>
  <c r="I59" i="4"/>
  <c r="I590" i="4"/>
  <c r="J590" i="4" s="1"/>
  <c r="I129" i="4"/>
  <c r="I266" i="4"/>
  <c r="J266" i="4" s="1"/>
  <c r="I127" i="4"/>
  <c r="J127" i="4" s="1"/>
  <c r="I985" i="4"/>
  <c r="J985" i="4" s="1"/>
  <c r="I58" i="4"/>
  <c r="I265" i="4"/>
  <c r="J265" i="4" s="1"/>
  <c r="I1230" i="4"/>
  <c r="I480" i="4"/>
  <c r="I367" i="4"/>
  <c r="I846" i="4"/>
  <c r="J846" i="4" s="1"/>
  <c r="I754" i="4"/>
  <c r="J754" i="4" s="1"/>
  <c r="I1850" i="4"/>
  <c r="I15" i="4"/>
  <c r="I1911" i="4"/>
  <c r="I795" i="4"/>
  <c r="J795" i="4" s="1"/>
  <c r="I747" i="4"/>
  <c r="J747" i="4" s="1"/>
  <c r="I1305" i="4"/>
  <c r="J1305" i="4" s="1"/>
  <c r="I838" i="4"/>
  <c r="J838" i="4" s="1"/>
  <c r="I1417" i="4"/>
  <c r="J1417" i="4" s="1"/>
  <c r="I712" i="4"/>
  <c r="J712" i="4" s="1"/>
  <c r="I841" i="4"/>
  <c r="J841" i="4" s="1"/>
  <c r="I484" i="4"/>
  <c r="J484" i="4" s="1"/>
  <c r="I710" i="4"/>
  <c r="J710" i="4" s="1"/>
  <c r="I765" i="4"/>
  <c r="I766" i="4" s="1"/>
  <c r="I843" i="4"/>
  <c r="J843" i="4" s="1"/>
  <c r="I633" i="4"/>
  <c r="J633" i="4" s="1"/>
  <c r="I1307" i="4"/>
  <c r="J1307" i="4" s="1"/>
  <c r="I2005" i="4"/>
  <c r="I1415" i="4"/>
  <c r="J1415" i="4" s="1"/>
  <c r="I794" i="4"/>
  <c r="J794" i="4" s="1"/>
  <c r="I165" i="4"/>
  <c r="J165" i="4" s="1"/>
  <c r="I944" i="4"/>
  <c r="J944" i="4" s="1"/>
  <c r="I1268" i="4"/>
  <c r="J1268" i="4" s="1"/>
  <c r="I625" i="4"/>
  <c r="J625" i="4" s="1"/>
  <c r="I1197" i="4"/>
  <c r="J1197" i="4" s="1"/>
  <c r="I602" i="4"/>
  <c r="I603" i="4" s="1"/>
  <c r="I801" i="4"/>
  <c r="J801" i="4" s="1"/>
  <c r="I1994" i="4"/>
  <c r="I1996" i="4" s="1"/>
  <c r="I1344" i="4"/>
  <c r="J1344" i="4" s="1"/>
  <c r="I1125" i="4"/>
  <c r="J1125" i="4" s="1"/>
  <c r="I752" i="4"/>
  <c r="J752" i="4" s="1"/>
  <c r="I898" i="4"/>
  <c r="I899" i="4" s="1"/>
  <c r="I460" i="4"/>
  <c r="I461" i="4" s="1"/>
  <c r="I961" i="4"/>
  <c r="I962" i="4" s="1"/>
  <c r="I1962" i="4"/>
  <c r="J1962" i="4" s="1"/>
  <c r="I803" i="4"/>
  <c r="J803" i="4" s="1"/>
  <c r="I791" i="4"/>
  <c r="I447" i="4"/>
  <c r="I1341" i="4"/>
  <c r="J1341" i="4" s="1"/>
  <c r="I844" i="4"/>
  <c r="J844" i="4" s="1"/>
  <c r="I837" i="4"/>
  <c r="J837" i="4" s="1"/>
  <c r="I755" i="4"/>
  <c r="J755" i="4" s="1"/>
  <c r="I61" i="4"/>
  <c r="J61" i="4" s="1"/>
  <c r="I1414" i="4"/>
  <c r="I753" i="4"/>
  <c r="J753" i="4" s="1"/>
  <c r="I845" i="4"/>
  <c r="J845" i="4" s="1"/>
  <c r="I1457" i="4"/>
  <c r="J1457" i="4" s="1"/>
  <c r="I1381" i="4"/>
  <c r="J1381" i="4" s="1"/>
  <c r="I800" i="4"/>
  <c r="J800" i="4" s="1"/>
  <c r="I631" i="4"/>
  <c r="J631" i="4" s="1"/>
  <c r="I945" i="4"/>
  <c r="J945" i="4" s="1"/>
  <c r="I634" i="4"/>
  <c r="J634" i="4" s="1"/>
  <c r="I632" i="4"/>
  <c r="J632" i="4" s="1"/>
  <c r="I1379" i="4"/>
  <c r="J1379" i="4" s="1"/>
  <c r="I1269" i="4"/>
  <c r="J1269" i="4" s="1"/>
  <c r="I448" i="4"/>
  <c r="J448" i="4" s="1"/>
  <c r="I1235" i="4"/>
  <c r="J1235" i="4" s="1"/>
  <c r="I793" i="4"/>
  <c r="I705" i="4"/>
  <c r="J705" i="4" s="1"/>
  <c r="I1342" i="4"/>
  <c r="J1342" i="4" s="1"/>
  <c r="I412" i="4"/>
  <c r="J412" i="4" s="1"/>
  <c r="I626" i="4"/>
  <c r="J626" i="4" s="1"/>
  <c r="I887" i="4"/>
  <c r="J887" i="4" s="1"/>
  <c r="I485" i="4"/>
  <c r="J485" i="4" s="1"/>
  <c r="I198" i="4"/>
  <c r="J198" i="4" s="1"/>
  <c r="I1162" i="4"/>
  <c r="J1162" i="4" s="1"/>
  <c r="I372" i="4"/>
  <c r="J372" i="4" s="1"/>
  <c r="I1198" i="4"/>
  <c r="J1198" i="4" s="1"/>
  <c r="I629" i="4"/>
  <c r="J629" i="4" s="1"/>
  <c r="I750" i="4"/>
  <c r="J750" i="4" s="1"/>
  <c r="I798" i="4"/>
  <c r="J798" i="4" s="1"/>
  <c r="I1713" i="4"/>
  <c r="J1713" i="4" s="1"/>
  <c r="I197" i="4"/>
  <c r="J2157" i="4"/>
  <c r="I2256" i="4"/>
  <c r="J2105" i="4"/>
  <c r="I2187" i="4"/>
  <c r="J1777" i="4"/>
  <c r="I1780" i="4"/>
  <c r="J1620" i="4"/>
  <c r="I1622" i="4"/>
  <c r="J1377" i="4"/>
  <c r="J1304" i="4"/>
  <c r="J1233" i="4"/>
  <c r="J1160" i="4"/>
  <c r="J886" i="4"/>
  <c r="J745" i="4"/>
  <c r="J703" i="4"/>
  <c r="J589" i="4"/>
  <c r="J410" i="4"/>
  <c r="J370" i="4"/>
  <c r="J164" i="4"/>
  <c r="J125" i="4"/>
  <c r="J60" i="4"/>
  <c r="I2114" i="4"/>
  <c r="I2116" i="4" s="1"/>
  <c r="K14" i="4"/>
  <c r="J18" i="4"/>
  <c r="K18" i="4"/>
  <c r="J20" i="4"/>
  <c r="K20" i="4"/>
  <c r="J19" i="4"/>
  <c r="K19" i="4"/>
  <c r="J17" i="4"/>
  <c r="K17" i="4"/>
  <c r="I2265" i="4"/>
  <c r="I814" i="4"/>
  <c r="I815" i="4" s="1"/>
  <c r="I1035" i="4"/>
  <c r="I1036" i="4" s="1"/>
  <c r="I2201" i="4"/>
  <c r="E146" i="1"/>
  <c r="F146" i="1" s="1"/>
  <c r="J948" i="4"/>
  <c r="G118" i="6"/>
  <c r="G118" i="8"/>
  <c r="G117" i="7"/>
  <c r="J946" i="4"/>
  <c r="J947" i="4"/>
  <c r="I1338" i="4"/>
  <c r="I787" i="4"/>
  <c r="I1301" i="4"/>
  <c r="I1428" i="4"/>
  <c r="I1429" i="4" s="1"/>
  <c r="I1910" i="4"/>
  <c r="I1281" i="4"/>
  <c r="I1282" i="4" s="1"/>
  <c r="I76" i="4"/>
  <c r="I77" i="4" s="1"/>
  <c r="I209" i="4"/>
  <c r="I210" i="4" s="1"/>
  <c r="I178" i="4"/>
  <c r="I179" i="4" s="1"/>
  <c r="I1355" i="4"/>
  <c r="I1356" i="4" s="1"/>
  <c r="I1973" i="4"/>
  <c r="I1941" i="4"/>
  <c r="I1001" i="4"/>
  <c r="I1002" i="4" s="1"/>
  <c r="I1073" i="4"/>
  <c r="I1074" i="4" s="1"/>
  <c r="I644" i="4"/>
  <c r="I645" i="4" s="1"/>
  <c r="I1174" i="4"/>
  <c r="I1175" i="4" s="1"/>
  <c r="I238" i="4"/>
  <c r="I1247" i="4"/>
  <c r="I1248" i="4" s="1"/>
  <c r="I239" i="4"/>
  <c r="I497" i="4"/>
  <c r="I498" i="4" s="1"/>
  <c r="I31" i="4"/>
  <c r="I32" i="4" s="1"/>
  <c r="I724" i="4"/>
  <c r="I725" i="4" s="1"/>
  <c r="I1631" i="4"/>
  <c r="I1632" i="4" s="1"/>
  <c r="I1469" i="4"/>
  <c r="I1470" i="4" s="1"/>
  <c r="I1789" i="4"/>
  <c r="I1790" i="4" s="1"/>
  <c r="I2264" i="4"/>
  <c r="I2200" i="4"/>
  <c r="I1392" i="4"/>
  <c r="I1393" i="4" s="1"/>
  <c r="I422" i="4"/>
  <c r="I423" i="4" s="1"/>
  <c r="I384" i="4"/>
  <c r="I385" i="4" s="1"/>
  <c r="I1942" i="4"/>
  <c r="I142" i="4"/>
  <c r="I143" i="4" s="1"/>
  <c r="I1851" i="4"/>
  <c r="I2129" i="4"/>
  <c r="I1106" i="4"/>
  <c r="I1107" i="4" s="1"/>
  <c r="I1974" i="4"/>
  <c r="I277" i="4"/>
  <c r="I278" i="4" s="1"/>
  <c r="I2057" i="4"/>
  <c r="I1210" i="4"/>
  <c r="I1211" i="4" s="1"/>
  <c r="I1724" i="4"/>
  <c r="I1725" i="4" s="1"/>
  <c r="I2006" i="4"/>
  <c r="I2058" i="4"/>
  <c r="I1136" i="4"/>
  <c r="I1137" i="4" s="1"/>
  <c r="I857" i="4"/>
  <c r="I858" i="4" s="1"/>
  <c r="I1318" i="4"/>
  <c r="I1319" i="4" s="1"/>
  <c r="I1157" i="4"/>
  <c r="I1194" i="4"/>
  <c r="I443" i="4"/>
  <c r="I1265" i="4"/>
  <c r="I883" i="4"/>
  <c r="I2174" i="4"/>
  <c r="J450" i="4"/>
  <c r="J1714" i="4"/>
  <c r="J1164" i="4"/>
  <c r="F154" i="1"/>
  <c r="J1456" i="4"/>
  <c r="J707" i="4"/>
  <c r="J2107" i="4"/>
  <c r="J592" i="4"/>
  <c r="J1237" i="4"/>
  <c r="J1382" i="4"/>
  <c r="F145" i="1"/>
  <c r="J840" i="4"/>
  <c r="J1126" i="4"/>
  <c r="J14" i="4"/>
  <c r="J1308" i="4"/>
  <c r="J1095" i="4"/>
  <c r="J628" i="4"/>
  <c r="J62" i="4"/>
  <c r="F148" i="1"/>
  <c r="J1995" i="4"/>
  <c r="J1927" i="4"/>
  <c r="J984" i="4"/>
  <c r="J797" i="4"/>
  <c r="J1621" i="4"/>
  <c r="H995" i="9" l="1"/>
  <c r="H996" i="9" s="1"/>
  <c r="H997" i="9" s="1"/>
  <c r="H999" i="9" s="1"/>
  <c r="D63" i="17" s="1"/>
  <c r="E63" i="17" s="1"/>
  <c r="H1286" i="9"/>
  <c r="H1287" i="9" s="1"/>
  <c r="H1288" i="9" s="1"/>
  <c r="H1290" i="9" s="1"/>
  <c r="D79" i="5" s="1"/>
  <c r="E79" i="5" s="1"/>
  <c r="H1027" i="9"/>
  <c r="H1028" i="9" s="1"/>
  <c r="H1029" i="9" s="1"/>
  <c r="H1031" i="9" s="1"/>
  <c r="H1033" i="9" s="1"/>
  <c r="H657" i="9"/>
  <c r="H658" i="9" s="1"/>
  <c r="H659" i="9" s="1"/>
  <c r="H661" i="9" s="1"/>
  <c r="D45" i="17" s="1"/>
  <c r="E45" i="17" s="1"/>
  <c r="H1398" i="9"/>
  <c r="H1399" i="9" s="1"/>
  <c r="H1400" i="9" s="1"/>
  <c r="H1402" i="9" s="1"/>
  <c r="H580" i="9"/>
  <c r="H581" i="9" s="1"/>
  <c r="H582" i="9" s="1"/>
  <c r="H584" i="9" s="1"/>
  <c r="H769" i="9"/>
  <c r="H770" i="9" s="1"/>
  <c r="H771" i="9" s="1"/>
  <c r="H773" i="9" s="1"/>
  <c r="H1248" i="9"/>
  <c r="H1249" i="9" s="1"/>
  <c r="H1250" i="9" s="1"/>
  <c r="H1252" i="9" s="1"/>
  <c r="H807" i="9"/>
  <c r="H808" i="9" s="1"/>
  <c r="H809" i="9" s="1"/>
  <c r="H811" i="9" s="1"/>
  <c r="H1061" i="9"/>
  <c r="H1062" i="9" s="1"/>
  <c r="H1063" i="9" s="1"/>
  <c r="H1065" i="9" s="1"/>
  <c r="H1471" i="9"/>
  <c r="H1100" i="9"/>
  <c r="H1101" i="9" s="1"/>
  <c r="H1102" i="9" s="1"/>
  <c r="H1104" i="9" s="1"/>
  <c r="I558" i="4"/>
  <c r="H1323" i="9"/>
  <c r="H1324" i="9" s="1"/>
  <c r="H1325" i="9" s="1"/>
  <c r="H1327" i="9" s="1"/>
  <c r="H1508" i="9"/>
  <c r="H957" i="9"/>
  <c r="H958" i="9" s="1"/>
  <c r="H959" i="9" s="1"/>
  <c r="H961" i="9" s="1"/>
  <c r="H1175" i="9"/>
  <c r="H1176" i="9" s="1"/>
  <c r="H1177" i="9" s="1"/>
  <c r="H1179" i="9" s="1"/>
  <c r="H731" i="9"/>
  <c r="H732" i="9" s="1"/>
  <c r="H733" i="9" s="1"/>
  <c r="H735" i="9" s="1"/>
  <c r="H884" i="9"/>
  <c r="I34" i="13"/>
  <c r="I35" i="13" s="1"/>
  <c r="I183" i="13"/>
  <c r="I185" i="13" s="1"/>
  <c r="I188" i="13" s="1"/>
  <c r="I144" i="13"/>
  <c r="I145" i="13" s="1"/>
  <c r="I149" i="13" s="1"/>
  <c r="H142" i="17"/>
  <c r="I142" i="17" s="1"/>
  <c r="K142" i="17" s="1"/>
  <c r="L142" i="17" s="1"/>
  <c r="M142" i="17" s="1"/>
  <c r="N142" i="17" s="1"/>
  <c r="G142" i="17"/>
  <c r="I106" i="14"/>
  <c r="I107" i="14" s="1"/>
  <c r="I116" i="14" s="1"/>
  <c r="I117" i="14" s="1"/>
  <c r="I118" i="14" s="1"/>
  <c r="I120" i="14" s="1"/>
  <c r="F145" i="19" s="1"/>
  <c r="I423" i="9"/>
  <c r="I424" i="9" s="1"/>
  <c r="I174" i="15"/>
  <c r="I175" i="15" s="1"/>
  <c r="I173" i="9"/>
  <c r="I174" i="9" s="1"/>
  <c r="I1462" i="9"/>
  <c r="I1463" i="9" s="1"/>
  <c r="I1471" i="9" s="1"/>
  <c r="I1472" i="9" s="1"/>
  <c r="I1473" i="9" s="1"/>
  <c r="I1475" i="9" s="1"/>
  <c r="F89" i="19" s="1"/>
  <c r="I61" i="13"/>
  <c r="I62" i="13" s="1"/>
  <c r="I334" i="4"/>
  <c r="I335" i="4" s="1"/>
  <c r="I65" i="13"/>
  <c r="I66" i="13" s="1"/>
  <c r="I99" i="15"/>
  <c r="I100" i="15" s="1"/>
  <c r="I103" i="9"/>
  <c r="I104" i="9" s="1"/>
  <c r="I20" i="13"/>
  <c r="I21" i="13" s="1"/>
  <c r="I987" i="9"/>
  <c r="I988" i="9" s="1"/>
  <c r="I995" i="9" s="1"/>
  <c r="I996" i="9" s="1"/>
  <c r="I997" i="9" s="1"/>
  <c r="I999" i="9" s="1"/>
  <c r="F63" i="19" s="1"/>
  <c r="I1278" i="9"/>
  <c r="I1279" i="9" s="1"/>
  <c r="I1286" i="9" s="1"/>
  <c r="I45" i="14"/>
  <c r="I46" i="14" s="1"/>
  <c r="I1125" i="9"/>
  <c r="I1126" i="9" s="1"/>
  <c r="I1133" i="9" s="1"/>
  <c r="I1134" i="9" s="1"/>
  <c r="I1135" i="9" s="1"/>
  <c r="I1137" i="9" s="1"/>
  <c r="F71" i="19" s="1"/>
  <c r="I1348" i="9"/>
  <c r="I1349" i="9" s="1"/>
  <c r="I1356" i="9" s="1"/>
  <c r="I1357" i="9" s="1"/>
  <c r="I1358" i="9" s="1"/>
  <c r="I1360" i="9" s="1"/>
  <c r="F83" i="19" s="1"/>
  <c r="I833" i="9"/>
  <c r="I834" i="9" s="1"/>
  <c r="I841" i="9" s="1"/>
  <c r="I606" i="9"/>
  <c r="I607" i="9" s="1"/>
  <c r="I527" i="4"/>
  <c r="I528" i="4" s="1"/>
  <c r="I388" i="9"/>
  <c r="I389" i="9" s="1"/>
  <c r="I66" i="9"/>
  <c r="I67" i="9" s="1"/>
  <c r="I24" i="13"/>
  <c r="I25" i="13" s="1"/>
  <c r="I284" i="15"/>
  <c r="I285" i="15" s="1"/>
  <c r="I875" i="9"/>
  <c r="I876" i="9" s="1"/>
  <c r="I884" i="9" s="1"/>
  <c r="I885" i="9" s="1"/>
  <c r="I886" i="9" s="1"/>
  <c r="I888" i="9" s="1"/>
  <c r="F57" i="19" s="1"/>
  <c r="I668" i="4"/>
  <c r="I669" i="4" s="1"/>
  <c r="I675" i="4" s="1"/>
  <c r="I676" i="4" s="1"/>
  <c r="I677" i="4" s="1"/>
  <c r="I679" i="4" s="1"/>
  <c r="I1500" i="9"/>
  <c r="I1501" i="9" s="1"/>
  <c r="I1508" i="9" s="1"/>
  <c r="I234" i="9"/>
  <c r="I235" i="9" s="1"/>
  <c r="I243" i="9" s="1"/>
  <c r="I244" i="9" s="1"/>
  <c r="I245" i="9" s="1"/>
  <c r="I247" i="9" s="1"/>
  <c r="F21" i="19" s="1"/>
  <c r="I310" i="9"/>
  <c r="I311" i="9" s="1"/>
  <c r="I319" i="9" s="1"/>
  <c r="I320" i="9" s="1"/>
  <c r="I321" i="9" s="1"/>
  <c r="I323" i="9" s="1"/>
  <c r="F25" i="19" s="1"/>
  <c r="I137" i="15"/>
  <c r="I138" i="15" s="1"/>
  <c r="I274" i="9"/>
  <c r="I275" i="9" s="1"/>
  <c r="I174" i="13"/>
  <c r="I175" i="13" s="1"/>
  <c r="I761" i="9"/>
  <c r="I762" i="9" s="1"/>
  <c r="I769" i="9" s="1"/>
  <c r="I770" i="9" s="1"/>
  <c r="I771" i="9" s="1"/>
  <c r="I773" i="9" s="1"/>
  <c r="F51" i="19" s="1"/>
  <c r="I130" i="13"/>
  <c r="I131" i="13" s="1"/>
  <c r="I96" i="13"/>
  <c r="I97" i="13" s="1"/>
  <c r="I203" i="9"/>
  <c r="I204" i="9" s="1"/>
  <c r="I462" i="9"/>
  <c r="I463" i="9" s="1"/>
  <c r="I1053" i="9"/>
  <c r="I1054" i="9" s="1"/>
  <c r="I1061" i="9" s="1"/>
  <c r="I1062" i="9" s="1"/>
  <c r="I1063" i="9" s="1"/>
  <c r="I1065" i="9" s="1"/>
  <c r="F67" i="19" s="1"/>
  <c r="I1389" i="9"/>
  <c r="I1390" i="9" s="1"/>
  <c r="I1398" i="9" s="1"/>
  <c r="I1399" i="9" s="1"/>
  <c r="I1400" i="9" s="1"/>
  <c r="I1402" i="9" s="1"/>
  <c r="F85" i="19" s="1"/>
  <c r="I1314" i="9"/>
  <c r="I1315" i="9" s="1"/>
  <c r="I1323" i="9" s="1"/>
  <c r="I1324" i="9" s="1"/>
  <c r="I1325" i="9" s="1"/>
  <c r="I1327" i="9" s="1"/>
  <c r="F81" i="19" s="1"/>
  <c r="I798" i="9"/>
  <c r="I799" i="9" s="1"/>
  <c r="I807" i="9" s="1"/>
  <c r="I808" i="9" s="1"/>
  <c r="I809" i="9" s="1"/>
  <c r="I811" i="9" s="1"/>
  <c r="F53" i="19" s="1"/>
  <c r="I134" i="13"/>
  <c r="I135" i="13" s="1"/>
  <c r="I23" i="15"/>
  <c r="I24" i="15" s="1"/>
  <c r="I494" i="9"/>
  <c r="I495" i="9" s="1"/>
  <c r="I504" i="9" s="1"/>
  <c r="I505" i="9" s="1"/>
  <c r="I506" i="9" s="1"/>
  <c r="I508" i="9" s="1"/>
  <c r="I1200" i="9"/>
  <c r="I1201" i="9" s="1"/>
  <c r="I1208" i="9" s="1"/>
  <c r="I1209" i="9" s="1"/>
  <c r="I1210" i="9" s="1"/>
  <c r="I1212" i="9" s="1"/>
  <c r="F75" i="19" s="1"/>
  <c r="I648" i="9"/>
  <c r="I649" i="9" s="1"/>
  <c r="I657" i="9" s="1"/>
  <c r="I658" i="9" s="1"/>
  <c r="I659" i="9" s="1"/>
  <c r="I661" i="9" s="1"/>
  <c r="F45" i="19" s="1"/>
  <c r="I525" i="9"/>
  <c r="I526" i="9" s="1"/>
  <c r="I532" i="9" s="1"/>
  <c r="I533" i="9" s="1"/>
  <c r="I534" i="9" s="1"/>
  <c r="I536" i="9" s="1"/>
  <c r="F37" i="19" s="1"/>
  <c r="I92" i="13"/>
  <c r="I93" i="13" s="1"/>
  <c r="I26" i="9"/>
  <c r="I27" i="9" s="1"/>
  <c r="I137" i="9"/>
  <c r="I139" i="9" s="1"/>
  <c r="I139" i="14"/>
  <c r="I140" i="14" s="1"/>
  <c r="I148" i="14" s="1"/>
  <c r="I149" i="14" s="1"/>
  <c r="I150" i="14" s="1"/>
  <c r="I152" i="14" s="1"/>
  <c r="F147" i="19" s="1"/>
  <c r="I1239" i="9"/>
  <c r="I1240" i="9" s="1"/>
  <c r="I1248" i="9" s="1"/>
  <c r="I1249" i="9" s="1"/>
  <c r="I1250" i="9" s="1"/>
  <c r="I1252" i="9" s="1"/>
  <c r="F77" i="19" s="1"/>
  <c r="I211" i="15"/>
  <c r="I212" i="15" s="1"/>
  <c r="I62" i="15"/>
  <c r="I63" i="15" s="1"/>
  <c r="I1423" i="9"/>
  <c r="I1424" i="9" s="1"/>
  <c r="I1431" i="9" s="1"/>
  <c r="I1432" i="9" s="1"/>
  <c r="I1433" i="9" s="1"/>
  <c r="I1435" i="9" s="1"/>
  <c r="F87" i="19" s="1"/>
  <c r="I1166" i="9"/>
  <c r="I1167" i="9" s="1"/>
  <c r="I1175" i="9" s="1"/>
  <c r="I1176" i="9" s="1"/>
  <c r="I1177" i="9" s="1"/>
  <c r="I1179" i="9" s="1"/>
  <c r="F73" i="19" s="1"/>
  <c r="I909" i="9"/>
  <c r="I910" i="9" s="1"/>
  <c r="I917" i="9" s="1"/>
  <c r="I918" i="9" s="1"/>
  <c r="I919" i="9" s="1"/>
  <c r="I921" i="9" s="1"/>
  <c r="F59" i="19" s="1"/>
  <c r="I683" i="9"/>
  <c r="I684" i="9" s="1"/>
  <c r="I691" i="9" s="1"/>
  <c r="I571" i="9"/>
  <c r="I572" i="9" s="1"/>
  <c r="I1019" i="9"/>
  <c r="I1020" i="9" s="1"/>
  <c r="I1027" i="9" s="1"/>
  <c r="I1028" i="9" s="1"/>
  <c r="I1029" i="9" s="1"/>
  <c r="I1031" i="9" s="1"/>
  <c r="F65" i="19" s="1"/>
  <c r="I170" i="13"/>
  <c r="I171" i="13" s="1"/>
  <c r="I948" i="9"/>
  <c r="I949" i="9" s="1"/>
  <c r="I957" i="9" s="1"/>
  <c r="I958" i="9" s="1"/>
  <c r="I959" i="9" s="1"/>
  <c r="I961" i="9" s="1"/>
  <c r="I722" i="9"/>
  <c r="I723" i="9" s="1"/>
  <c r="I731" i="9" s="1"/>
  <c r="I345" i="9"/>
  <c r="I346" i="9" s="1"/>
  <c r="I354" i="9" s="1"/>
  <c r="I355" i="9" s="1"/>
  <c r="I356" i="9" s="1"/>
  <c r="I358" i="9" s="1"/>
  <c r="I248" i="15"/>
  <c r="I249" i="15" s="1"/>
  <c r="I1091" i="9"/>
  <c r="I1092" i="9" s="1"/>
  <c r="I1100" i="9" s="1"/>
  <c r="I1101" i="9" s="1"/>
  <c r="I1102" i="9" s="1"/>
  <c r="I1104" i="9" s="1"/>
  <c r="F69" i="19" s="1"/>
  <c r="I561" i="4"/>
  <c r="I562" i="4" s="1"/>
  <c r="H142" i="18"/>
  <c r="I142" i="18" s="1"/>
  <c r="K142" i="18" s="1"/>
  <c r="L142" i="18" s="1"/>
  <c r="M142" i="18" s="1"/>
  <c r="N142" i="18" s="1"/>
  <c r="G142" i="18"/>
  <c r="G142" i="5"/>
  <c r="H142" i="5"/>
  <c r="I142" i="5" s="1"/>
  <c r="L142" i="5" s="1"/>
  <c r="M142" i="5" s="1"/>
  <c r="N142" i="5" s="1"/>
  <c r="I41" i="14"/>
  <c r="I167" i="13"/>
  <c r="I61" i="9"/>
  <c r="I98" i="9"/>
  <c r="I298" i="4"/>
  <c r="I95" i="15"/>
  <c r="J121" i="13"/>
  <c r="I127" i="13"/>
  <c r="I328" i="4"/>
  <c r="I566" i="9"/>
  <c r="I382" i="9"/>
  <c r="J57" i="13"/>
  <c r="I58" i="13"/>
  <c r="I522" i="4"/>
  <c r="J203" i="15"/>
  <c r="I207" i="15"/>
  <c r="J15" i="9"/>
  <c r="K15" i="9"/>
  <c r="I270" i="9"/>
  <c r="J268" i="9"/>
  <c r="I19" i="15"/>
  <c r="I603" i="9"/>
  <c r="J276" i="15"/>
  <c r="I280" i="15"/>
  <c r="J130" i="15"/>
  <c r="I133" i="15"/>
  <c r="J456" i="9"/>
  <c r="I458" i="9"/>
  <c r="I419" i="9"/>
  <c r="I170" i="15"/>
  <c r="I17" i="13"/>
  <c r="I132" i="9"/>
  <c r="J197" i="9"/>
  <c r="I199" i="9"/>
  <c r="I58" i="15"/>
  <c r="I244" i="15"/>
  <c r="I167" i="9"/>
  <c r="I893" i="4"/>
  <c r="I894" i="4" s="1"/>
  <c r="I302" i="4"/>
  <c r="I303" i="4" s="1"/>
  <c r="F101" i="7"/>
  <c r="K15" i="4"/>
  <c r="F141" i="7"/>
  <c r="I1499" i="4"/>
  <c r="K2116" i="4"/>
  <c r="F99" i="8"/>
  <c r="F134" i="6"/>
  <c r="F134" i="8"/>
  <c r="F133" i="7"/>
  <c r="D134" i="8"/>
  <c r="D133" i="7"/>
  <c r="D134" i="6"/>
  <c r="F138" i="6"/>
  <c r="F138" i="8"/>
  <c r="F137" i="7"/>
  <c r="D138" i="8"/>
  <c r="D137" i="7"/>
  <c r="D138" i="6"/>
  <c r="I1096" i="4"/>
  <c r="F123" i="8"/>
  <c r="F122" i="7"/>
  <c r="F123" i="6"/>
  <c r="D123" i="8"/>
  <c r="D122" i="7"/>
  <c r="D123" i="6"/>
  <c r="F126" i="8"/>
  <c r="F126" i="6"/>
  <c r="D142" i="7"/>
  <c r="F114" i="6"/>
  <c r="F113" i="7"/>
  <c r="F19" i="7"/>
  <c r="F19" i="8"/>
  <c r="I1040" i="4"/>
  <c r="I1041" i="4" s="1"/>
  <c r="I966" i="4"/>
  <c r="I967" i="4" s="1"/>
  <c r="I1077" i="4"/>
  <c r="I1079" i="4" s="1"/>
  <c r="I1691" i="4"/>
  <c r="I1692" i="4" s="1"/>
  <c r="I1023" i="4"/>
  <c r="I1687" i="4"/>
  <c r="J1685" i="4"/>
  <c r="I1061" i="4"/>
  <c r="I714" i="4"/>
  <c r="I21" i="4"/>
  <c r="I99" i="4"/>
  <c r="I104" i="4"/>
  <c r="I105" i="4" s="1"/>
  <c r="I1493" i="4"/>
  <c r="I137" i="4"/>
  <c r="I1491" i="4"/>
  <c r="I2131" i="4"/>
  <c r="I2044" i="4"/>
  <c r="J1994" i="4"/>
  <c r="J15" i="4"/>
  <c r="I268" i="4"/>
  <c r="I989" i="4"/>
  <c r="I131" i="4"/>
  <c r="J447" i="4"/>
  <c r="I451" i="4"/>
  <c r="I415" i="4"/>
  <c r="I374" i="4"/>
  <c r="I240" i="4"/>
  <c r="J197" i="4"/>
  <c r="I200" i="4"/>
  <c r="I167" i="4"/>
  <c r="I1852" i="4"/>
  <c r="I1912" i="4"/>
  <c r="I1419" i="4"/>
  <c r="I2007" i="4"/>
  <c r="I1309" i="4"/>
  <c r="I1127" i="4"/>
  <c r="I1964" i="4"/>
  <c r="I1460" i="4"/>
  <c r="J1414" i="4"/>
  <c r="I1346" i="4"/>
  <c r="K16" i="4"/>
  <c r="J16" i="4"/>
  <c r="I949" i="4"/>
  <c r="I1165" i="4"/>
  <c r="I65" i="4"/>
  <c r="I66" i="4" s="1"/>
  <c r="I2122" i="4"/>
  <c r="I1026" i="4"/>
  <c r="I1027" i="4" s="1"/>
  <c r="I204" i="4"/>
  <c r="I205" i="4" s="1"/>
  <c r="I173" i="4"/>
  <c r="I174" i="4" s="1"/>
  <c r="I1101" i="4"/>
  <c r="I1102" i="4" s="1"/>
  <c r="I1276" i="4"/>
  <c r="I1277" i="4" s="1"/>
  <c r="I1626" i="4"/>
  <c r="I1627" i="4" s="1"/>
  <c r="I1634" i="4" s="1"/>
  <c r="I1875" i="4"/>
  <c r="I1876" i="4" s="1"/>
  <c r="I1883" i="4" s="1"/>
  <c r="I1884" i="4" s="1"/>
  <c r="I1885" i="4" s="1"/>
  <c r="I1887" i="4" s="1"/>
  <c r="I26" i="4"/>
  <c r="I27" i="4" s="1"/>
  <c r="K27" i="4" s="1"/>
  <c r="I1242" i="4"/>
  <c r="I1243" i="4" s="1"/>
  <c r="I136" i="4"/>
  <c r="I992" i="4"/>
  <c r="I993" i="4" s="1"/>
  <c r="I379" i="4"/>
  <c r="I380" i="4" s="1"/>
  <c r="I2050" i="4"/>
  <c r="I1937" i="4"/>
  <c r="I1938" i="4" s="1"/>
  <c r="I272" i="4"/>
  <c r="I273" i="4" s="1"/>
  <c r="I1131" i="4"/>
  <c r="I1132" i="4" s="1"/>
  <c r="I1906" i="4"/>
  <c r="I1907" i="4" s="1"/>
  <c r="I956" i="4"/>
  <c r="I957" i="4" s="1"/>
  <c r="I852" i="4"/>
  <c r="I853" i="4" s="1"/>
  <c r="I2260" i="4"/>
  <c r="I2261" i="4" s="1"/>
  <c r="I639" i="4"/>
  <c r="I640" i="4" s="1"/>
  <c r="I492" i="4"/>
  <c r="I493" i="4" s="1"/>
  <c r="I2193" i="4"/>
  <c r="I1030" i="4"/>
  <c r="I1031" i="4" s="1"/>
  <c r="I1313" i="4"/>
  <c r="I1314" i="4" s="1"/>
  <c r="I1969" i="4"/>
  <c r="I809" i="4"/>
  <c r="I810" i="4" s="1"/>
  <c r="I1064" i="4"/>
  <c r="I1065" i="4" s="1"/>
  <c r="I1169" i="4"/>
  <c r="I1170" i="4" s="1"/>
  <c r="I1719" i="4"/>
  <c r="I1720" i="4" s="1"/>
  <c r="I234" i="4"/>
  <c r="I235" i="4" s="1"/>
  <c r="I1387" i="4"/>
  <c r="I1388" i="4" s="1"/>
  <c r="I71" i="4"/>
  <c r="I72" i="4" s="1"/>
  <c r="I455" i="4"/>
  <c r="I456" i="4" s="1"/>
  <c r="I418" i="4"/>
  <c r="I1784" i="4"/>
  <c r="I1785" i="4" s="1"/>
  <c r="I1792" i="4" s="1"/>
  <c r="I1793" i="4" s="1"/>
  <c r="I1794" i="4" s="1"/>
  <c r="I1796" i="4" s="1"/>
  <c r="I1350" i="4"/>
  <c r="I1351" i="4" s="1"/>
  <c r="I1068" i="4"/>
  <c r="I1069" i="4" s="1"/>
  <c r="I1205" i="4"/>
  <c r="I1206" i="4" s="1"/>
  <c r="I760" i="4"/>
  <c r="I761" i="4" s="1"/>
  <c r="I1423" i="4"/>
  <c r="I1424" i="4" s="1"/>
  <c r="I996" i="4"/>
  <c r="I997" i="4" s="1"/>
  <c r="I719" i="4"/>
  <c r="I720" i="4" s="1"/>
  <c r="I952" i="4"/>
  <c r="I953" i="4" s="1"/>
  <c r="I597" i="4"/>
  <c r="I598" i="4" s="1"/>
  <c r="I1464" i="4"/>
  <c r="I1465" i="4" s="1"/>
  <c r="I2001" i="4"/>
  <c r="I2120" i="4"/>
  <c r="I1967" i="4"/>
  <c r="I1999" i="4"/>
  <c r="I2191" i="4"/>
  <c r="I2048" i="4"/>
  <c r="I1846" i="4"/>
  <c r="I1847" i="4" s="1"/>
  <c r="I1519" i="4"/>
  <c r="I1520" i="4" s="1"/>
  <c r="I1523" i="4" s="1"/>
  <c r="I1524" i="4" s="1"/>
  <c r="I1525" i="4" s="1"/>
  <c r="I1527" i="4" s="1"/>
  <c r="I1529" i="4" s="1"/>
  <c r="I847" i="4"/>
  <c r="I804" i="4"/>
  <c r="I488" i="4"/>
  <c r="I1201" i="4"/>
  <c r="I1272" i="4"/>
  <c r="I756" i="4"/>
  <c r="I889" i="4"/>
  <c r="I1238" i="4"/>
  <c r="I1383" i="4"/>
  <c r="I593" i="4"/>
  <c r="I635" i="4"/>
  <c r="I1715" i="4"/>
  <c r="I2202" i="4"/>
  <c r="I2266" i="4"/>
  <c r="H117" i="7"/>
  <c r="I117" i="7"/>
  <c r="J117" i="7" s="1"/>
  <c r="H118" i="8"/>
  <c r="I118" i="8"/>
  <c r="J118" i="8" s="1"/>
  <c r="M118" i="8" s="1"/>
  <c r="N118" i="8" s="1"/>
  <c r="I118" i="6"/>
  <c r="J118" i="6" s="1"/>
  <c r="H118" i="6"/>
  <c r="I1975" i="4"/>
  <c r="I1943" i="4"/>
  <c r="I2059" i="4"/>
  <c r="H1002" i="9" l="1"/>
  <c r="D79" i="18"/>
  <c r="E79" i="18" s="1"/>
  <c r="H663" i="9"/>
  <c r="D79" i="17"/>
  <c r="E79" i="17" s="1"/>
  <c r="D79" i="19"/>
  <c r="E79" i="19" s="1"/>
  <c r="D65" i="19"/>
  <c r="E65" i="19" s="1"/>
  <c r="D65" i="5"/>
  <c r="E65" i="5" s="1"/>
  <c r="D65" i="17"/>
  <c r="E65" i="17" s="1"/>
  <c r="D65" i="18"/>
  <c r="E65" i="18" s="1"/>
  <c r="D63" i="18"/>
  <c r="E63" i="18" s="1"/>
  <c r="D63" i="5"/>
  <c r="E63" i="5" s="1"/>
  <c r="D63" i="19"/>
  <c r="E63" i="19" s="1"/>
  <c r="G63" i="19" s="1"/>
  <c r="H607" i="9"/>
  <c r="H614" i="9" s="1"/>
  <c r="H615" i="9" s="1"/>
  <c r="H616" i="9" s="1"/>
  <c r="H618" i="9" s="1"/>
  <c r="H1424" i="9"/>
  <c r="H1431" i="9" s="1"/>
  <c r="H1432" i="9" s="1"/>
  <c r="H1433" i="9" s="1"/>
  <c r="H1435" i="9" s="1"/>
  <c r="H1437" i="9" s="1"/>
  <c r="H1201" i="9"/>
  <c r="H1208" i="9" s="1"/>
  <c r="H1209" i="9" s="1"/>
  <c r="H1210" i="9" s="1"/>
  <c r="H1212" i="9" s="1"/>
  <c r="D45" i="5"/>
  <c r="E45" i="5" s="1"/>
  <c r="H1126" i="9"/>
  <c r="H1133" i="9" s="1"/>
  <c r="H1134" i="9" s="1"/>
  <c r="H1135" i="9" s="1"/>
  <c r="H1137" i="9" s="1"/>
  <c r="D71" i="19" s="1"/>
  <c r="E71" i="19" s="1"/>
  <c r="G71" i="19" s="1"/>
  <c r="D45" i="19"/>
  <c r="E45" i="19" s="1"/>
  <c r="G45" i="19" s="1"/>
  <c r="I567" i="4"/>
  <c r="I568" i="4" s="1"/>
  <c r="I569" i="4" s="1"/>
  <c r="I571" i="4" s="1"/>
  <c r="D45" i="18"/>
  <c r="E45" i="18" s="1"/>
  <c r="D41" i="17"/>
  <c r="E41" i="17" s="1"/>
  <c r="D41" i="19"/>
  <c r="E41" i="19" s="1"/>
  <c r="D41" i="18"/>
  <c r="E41" i="18" s="1"/>
  <c r="D41" i="5"/>
  <c r="E41" i="5" s="1"/>
  <c r="H586" i="9"/>
  <c r="H1349" i="9"/>
  <c r="H1356" i="9" s="1"/>
  <c r="H1357" i="9" s="1"/>
  <c r="H1358" i="9" s="1"/>
  <c r="H1360" i="9" s="1"/>
  <c r="I1362" i="9" s="1"/>
  <c r="H1106" i="9"/>
  <c r="D69" i="17"/>
  <c r="E69" i="17" s="1"/>
  <c r="D69" i="5"/>
  <c r="E69" i="5" s="1"/>
  <c r="D69" i="19"/>
  <c r="E69" i="19" s="1"/>
  <c r="G69" i="19" s="1"/>
  <c r="D69" i="18"/>
  <c r="E69" i="18" s="1"/>
  <c r="H813" i="9"/>
  <c r="D53" i="5"/>
  <c r="E53" i="5" s="1"/>
  <c r="D53" i="17"/>
  <c r="E53" i="17" s="1"/>
  <c r="D53" i="18"/>
  <c r="E53" i="18" s="1"/>
  <c r="D53" i="19"/>
  <c r="E53" i="19" s="1"/>
  <c r="G53" i="19" s="1"/>
  <c r="D49" i="19"/>
  <c r="E49" i="19" s="1"/>
  <c r="H738" i="9"/>
  <c r="D49" i="18"/>
  <c r="E49" i="18" s="1"/>
  <c r="D49" i="5"/>
  <c r="E49" i="5" s="1"/>
  <c r="D49" i="17"/>
  <c r="E49" i="17" s="1"/>
  <c r="H1472" i="9"/>
  <c r="H1473" i="9" s="1"/>
  <c r="H1475" i="9" s="1"/>
  <c r="H1255" i="9"/>
  <c r="D77" i="19"/>
  <c r="E77" i="19" s="1"/>
  <c r="G77" i="19" s="1"/>
  <c r="D77" i="17"/>
  <c r="E77" i="17" s="1"/>
  <c r="D77" i="18"/>
  <c r="E77" i="18" s="1"/>
  <c r="D77" i="5"/>
  <c r="E77" i="5" s="1"/>
  <c r="H834" i="9"/>
  <c r="H841" i="9" s="1"/>
  <c r="H842" i="9" s="1"/>
  <c r="H843" i="9" s="1"/>
  <c r="H845" i="9" s="1"/>
  <c r="H684" i="9"/>
  <c r="H691" i="9" s="1"/>
  <c r="H692" i="9" s="1"/>
  <c r="H693" i="9" s="1"/>
  <c r="H695" i="9" s="1"/>
  <c r="D51" i="5"/>
  <c r="E51" i="5" s="1"/>
  <c r="D51" i="17"/>
  <c r="E51" i="17" s="1"/>
  <c r="D51" i="19"/>
  <c r="E51" i="19" s="1"/>
  <c r="G51" i="19" s="1"/>
  <c r="D51" i="18"/>
  <c r="E51" i="18" s="1"/>
  <c r="H964" i="9"/>
  <c r="D61" i="18"/>
  <c r="E61" i="18" s="1"/>
  <c r="D61" i="19"/>
  <c r="E61" i="19" s="1"/>
  <c r="D61" i="5"/>
  <c r="E61" i="5" s="1"/>
  <c r="D61" i="17"/>
  <c r="E61" i="17" s="1"/>
  <c r="H910" i="9"/>
  <c r="H917" i="9" s="1"/>
  <c r="H1068" i="9"/>
  <c r="D67" i="17"/>
  <c r="E67" i="17" s="1"/>
  <c r="D67" i="18"/>
  <c r="E67" i="18" s="1"/>
  <c r="D67" i="5"/>
  <c r="E67" i="5" s="1"/>
  <c r="D67" i="19"/>
  <c r="E67" i="19" s="1"/>
  <c r="G67" i="19" s="1"/>
  <c r="H1181" i="9"/>
  <c r="D73" i="5"/>
  <c r="E73" i="5" s="1"/>
  <c r="D73" i="17"/>
  <c r="E73" i="17" s="1"/>
  <c r="D73" i="19"/>
  <c r="E73" i="19" s="1"/>
  <c r="G73" i="19" s="1"/>
  <c r="D73" i="18"/>
  <c r="E73" i="18" s="1"/>
  <c r="H1509" i="9"/>
  <c r="H1510" i="9" s="1"/>
  <c r="H1512" i="9" s="1"/>
  <c r="H1329" i="9"/>
  <c r="D81" i="19"/>
  <c r="E81" i="19" s="1"/>
  <c r="G81" i="19" s="1"/>
  <c r="D81" i="5"/>
  <c r="E81" i="5" s="1"/>
  <c r="D81" i="17"/>
  <c r="E81" i="17" s="1"/>
  <c r="D81" i="18"/>
  <c r="E81" i="18" s="1"/>
  <c r="H885" i="9"/>
  <c r="H886" i="9" s="1"/>
  <c r="H888" i="9" s="1"/>
  <c r="H1404" i="9"/>
  <c r="D85" i="19"/>
  <c r="E85" i="19" s="1"/>
  <c r="G85" i="19" s="1"/>
  <c r="D85" i="17"/>
  <c r="E85" i="17" s="1"/>
  <c r="D85" i="18"/>
  <c r="E85" i="18" s="1"/>
  <c r="D85" i="5"/>
  <c r="E85" i="5" s="1"/>
  <c r="I614" i="9"/>
  <c r="I615" i="9" s="1"/>
  <c r="I616" i="9" s="1"/>
  <c r="I618" i="9" s="1"/>
  <c r="F43" i="19" s="1"/>
  <c r="H43" i="19" s="1"/>
  <c r="I43" i="19" s="1"/>
  <c r="K43" i="19" s="1"/>
  <c r="L43" i="19" s="1"/>
  <c r="M43" i="19" s="1"/>
  <c r="N43" i="19" s="1"/>
  <c r="H53" i="19"/>
  <c r="I53" i="19" s="1"/>
  <c r="K53" i="19" s="1"/>
  <c r="L53" i="19" s="1"/>
  <c r="M53" i="19" s="1"/>
  <c r="N53" i="19" s="1"/>
  <c r="H67" i="19"/>
  <c r="I67" i="19" s="1"/>
  <c r="K67" i="19" s="1"/>
  <c r="L67" i="19" s="1"/>
  <c r="M67" i="19" s="1"/>
  <c r="N67" i="19" s="1"/>
  <c r="I510" i="9"/>
  <c r="F35" i="19"/>
  <c r="H69" i="19"/>
  <c r="I69" i="19" s="1"/>
  <c r="K69" i="19" s="1"/>
  <c r="L69" i="19" s="1"/>
  <c r="M69" i="19" s="1"/>
  <c r="N69" i="19" s="1"/>
  <c r="G145" i="19"/>
  <c r="H145" i="19"/>
  <c r="I145" i="19" s="1"/>
  <c r="K145" i="19" s="1"/>
  <c r="L145" i="19" s="1"/>
  <c r="M145" i="19" s="1"/>
  <c r="N145" i="19" s="1"/>
  <c r="H63" i="19"/>
  <c r="I63" i="19" s="1"/>
  <c r="K63" i="19" s="1"/>
  <c r="L63" i="19" s="1"/>
  <c r="M63" i="19" s="1"/>
  <c r="N63" i="19" s="1"/>
  <c r="H59" i="19"/>
  <c r="I59" i="19" s="1"/>
  <c r="K59" i="19" s="1"/>
  <c r="L59" i="19" s="1"/>
  <c r="M59" i="19" s="1"/>
  <c r="N59" i="19" s="1"/>
  <c r="H87" i="19"/>
  <c r="I87" i="19" s="1"/>
  <c r="K87" i="19" s="1"/>
  <c r="L87" i="19" s="1"/>
  <c r="M87" i="19" s="1"/>
  <c r="N87" i="19" s="1"/>
  <c r="I146" i="9"/>
  <c r="I147" i="9" s="1"/>
  <c r="I148" i="9" s="1"/>
  <c r="I150" i="9" s="1"/>
  <c r="F16" i="19" s="1"/>
  <c r="H81" i="19"/>
  <c r="I81" i="19" s="1"/>
  <c r="K81" i="19" s="1"/>
  <c r="L81" i="19" s="1"/>
  <c r="M81" i="19" s="1"/>
  <c r="N81" i="19" s="1"/>
  <c r="H57" i="19"/>
  <c r="I57" i="19" s="1"/>
  <c r="K57" i="19" s="1"/>
  <c r="L57" i="19" s="1"/>
  <c r="M57" i="19" s="1"/>
  <c r="N57" i="19" s="1"/>
  <c r="H25" i="19"/>
  <c r="I25" i="19" s="1"/>
  <c r="K25" i="19" s="1"/>
  <c r="L25" i="19" s="1"/>
  <c r="M25" i="19" s="1"/>
  <c r="N25" i="19" s="1"/>
  <c r="G25" i="19"/>
  <c r="H73" i="19"/>
  <c r="I73" i="19" s="1"/>
  <c r="K73" i="19" s="1"/>
  <c r="L73" i="19" s="1"/>
  <c r="M73" i="19" s="1"/>
  <c r="N73" i="19" s="1"/>
  <c r="F26" i="18"/>
  <c r="G26" i="18" s="1"/>
  <c r="F26" i="19"/>
  <c r="H77" i="19"/>
  <c r="I77" i="19" s="1"/>
  <c r="K77" i="19" s="1"/>
  <c r="L77" i="19" s="1"/>
  <c r="M77" i="19" s="1"/>
  <c r="N77" i="19" s="1"/>
  <c r="H71" i="19"/>
  <c r="I71" i="19" s="1"/>
  <c r="K71" i="19" s="1"/>
  <c r="L71" i="19" s="1"/>
  <c r="M71" i="19" s="1"/>
  <c r="N71" i="19" s="1"/>
  <c r="G147" i="19"/>
  <c r="H147" i="19"/>
  <c r="I147" i="19" s="1"/>
  <c r="K147" i="19" s="1"/>
  <c r="L147" i="19" s="1"/>
  <c r="M147" i="19" s="1"/>
  <c r="N147" i="19" s="1"/>
  <c r="H85" i="19"/>
  <c r="I85" i="19" s="1"/>
  <c r="K85" i="19" s="1"/>
  <c r="L85" i="19" s="1"/>
  <c r="M85" i="19" s="1"/>
  <c r="N85" i="19" s="1"/>
  <c r="G21" i="19"/>
  <c r="H21" i="19"/>
  <c r="I21" i="19" s="1"/>
  <c r="K21" i="19" s="1"/>
  <c r="L21" i="19" s="1"/>
  <c r="M21" i="19" s="1"/>
  <c r="N21" i="19" s="1"/>
  <c r="F61" i="18"/>
  <c r="F61" i="19"/>
  <c r="H75" i="19"/>
  <c r="I75" i="19" s="1"/>
  <c r="K75" i="19" s="1"/>
  <c r="L75" i="19" s="1"/>
  <c r="M75" i="19" s="1"/>
  <c r="N75" i="19" s="1"/>
  <c r="H89" i="19"/>
  <c r="I89" i="19" s="1"/>
  <c r="K89" i="19" s="1"/>
  <c r="L89" i="19" s="1"/>
  <c r="M89" i="19" s="1"/>
  <c r="N89" i="19" s="1"/>
  <c r="H37" i="19"/>
  <c r="I37" i="19" s="1"/>
  <c r="K37" i="19" s="1"/>
  <c r="L37" i="19" s="1"/>
  <c r="M37" i="19" s="1"/>
  <c r="N37" i="19" s="1"/>
  <c r="G37" i="19"/>
  <c r="H45" i="19"/>
  <c r="I45" i="19" s="1"/>
  <c r="K45" i="19" s="1"/>
  <c r="L45" i="19" s="1"/>
  <c r="M45" i="19" s="1"/>
  <c r="N45" i="19" s="1"/>
  <c r="H83" i="19"/>
  <c r="I83" i="19" s="1"/>
  <c r="K83" i="19" s="1"/>
  <c r="L83" i="19" s="1"/>
  <c r="M83" i="19" s="1"/>
  <c r="N83" i="19" s="1"/>
  <c r="H65" i="19"/>
  <c r="I65" i="19" s="1"/>
  <c r="K65" i="19" s="1"/>
  <c r="L65" i="19" s="1"/>
  <c r="M65" i="19" s="1"/>
  <c r="N65" i="19" s="1"/>
  <c r="G65" i="19"/>
  <c r="I70" i="15"/>
  <c r="I71" i="15" s="1"/>
  <c r="I72" i="15" s="1"/>
  <c r="I74" i="15" s="1"/>
  <c r="F117" i="19" s="1"/>
  <c r="I534" i="4"/>
  <c r="I535" i="4" s="1"/>
  <c r="I536" i="4" s="1"/>
  <c r="I538" i="4" s="1"/>
  <c r="I540" i="4" s="1"/>
  <c r="I108" i="15"/>
  <c r="I109" i="15" s="1"/>
  <c r="I110" i="15" s="1"/>
  <c r="I112" i="15" s="1"/>
  <c r="F119" i="19" s="1"/>
  <c r="H51" i="19"/>
  <c r="I51" i="19" s="1"/>
  <c r="K51" i="19" s="1"/>
  <c r="L51" i="19" s="1"/>
  <c r="M51" i="19" s="1"/>
  <c r="N51" i="19" s="1"/>
  <c r="I580" i="9"/>
  <c r="I581" i="9" s="1"/>
  <c r="I582" i="9" s="1"/>
  <c r="I584" i="9" s="1"/>
  <c r="F41" i="19" s="1"/>
  <c r="I53" i="14"/>
  <c r="I54" i="14" s="1"/>
  <c r="I55" i="14" s="1"/>
  <c r="I57" i="14" s="1"/>
  <c r="F140" i="19" s="1"/>
  <c r="I249" i="9"/>
  <c r="F21" i="18"/>
  <c r="H21" i="18" s="1"/>
  <c r="I21" i="18" s="1"/>
  <c r="K21" i="18" s="1"/>
  <c r="L21" i="18" s="1"/>
  <c r="M21" i="18" s="1"/>
  <c r="N21" i="18" s="1"/>
  <c r="I256" i="15"/>
  <c r="I257" i="15" s="1"/>
  <c r="I258" i="15" s="1"/>
  <c r="I260" i="15" s="1"/>
  <c r="F127" i="19" s="1"/>
  <c r="I145" i="15"/>
  <c r="I146" i="15" s="1"/>
  <c r="I147" i="15" s="1"/>
  <c r="I149" i="15" s="1"/>
  <c r="F121" i="19" s="1"/>
  <c r="I112" i="9"/>
  <c r="I113" i="9" s="1"/>
  <c r="I114" i="9" s="1"/>
  <c r="I116" i="9" s="1"/>
  <c r="I118" i="9" s="1"/>
  <c r="I75" i="9"/>
  <c r="I76" i="9" s="1"/>
  <c r="I77" i="9" s="1"/>
  <c r="I79" i="9" s="1"/>
  <c r="F12" i="19" s="1"/>
  <c r="I104" i="13"/>
  <c r="I105" i="13" s="1"/>
  <c r="I106" i="13" s="1"/>
  <c r="I108" i="13" s="1"/>
  <c r="F104" i="19" s="1"/>
  <c r="I187" i="13"/>
  <c r="I189" i="13" s="1"/>
  <c r="I191" i="13" s="1"/>
  <c r="F108" i="19" s="1"/>
  <c r="F145" i="17"/>
  <c r="H145" i="17" s="1"/>
  <c r="I145" i="17" s="1"/>
  <c r="K145" i="17" s="1"/>
  <c r="L145" i="17" s="1"/>
  <c r="M145" i="17" s="1"/>
  <c r="N145" i="17" s="1"/>
  <c r="F145" i="5"/>
  <c r="F145" i="18"/>
  <c r="H145" i="18" s="1"/>
  <c r="I145" i="18" s="1"/>
  <c r="K145" i="18" s="1"/>
  <c r="L145" i="18" s="1"/>
  <c r="M145" i="18" s="1"/>
  <c r="N145" i="18" s="1"/>
  <c r="I122" i="14"/>
  <c r="F147" i="18"/>
  <c r="H147" i="18" s="1"/>
  <c r="I147" i="18" s="1"/>
  <c r="K147" i="18" s="1"/>
  <c r="L147" i="18" s="1"/>
  <c r="M147" i="18" s="1"/>
  <c r="N147" i="18" s="1"/>
  <c r="F147" i="5"/>
  <c r="K147" i="5" s="1"/>
  <c r="F147" i="17"/>
  <c r="H147" i="17" s="1"/>
  <c r="I147" i="17" s="1"/>
  <c r="K147" i="17" s="1"/>
  <c r="L147" i="17" s="1"/>
  <c r="M147" i="17" s="1"/>
  <c r="N147" i="17" s="1"/>
  <c r="I154" i="14"/>
  <c r="F89" i="5"/>
  <c r="K89" i="5" s="1"/>
  <c r="K27" i="9"/>
  <c r="I35" i="9"/>
  <c r="I36" i="9" s="1"/>
  <c r="I37" i="9" s="1"/>
  <c r="I39" i="9" s="1"/>
  <c r="F10" i="19" s="1"/>
  <c r="I38" i="13"/>
  <c r="I39" i="13" s="1"/>
  <c r="I40" i="13" s="1"/>
  <c r="I42" i="13" s="1"/>
  <c r="F100" i="19" s="1"/>
  <c r="I182" i="15"/>
  <c r="I183" i="15" s="1"/>
  <c r="I184" i="15" s="1"/>
  <c r="I186" i="15" s="1"/>
  <c r="I188" i="15" s="1"/>
  <c r="I292" i="15"/>
  <c r="I293" i="15" s="1"/>
  <c r="I294" i="15" s="1"/>
  <c r="I296" i="15" s="1"/>
  <c r="F129" i="19" s="1"/>
  <c r="I219" i="15"/>
  <c r="I220" i="15" s="1"/>
  <c r="I221" i="15" s="1"/>
  <c r="I223" i="15" s="1"/>
  <c r="F125" i="17" s="1"/>
  <c r="I73" i="13"/>
  <c r="I74" i="13" s="1"/>
  <c r="I75" i="13" s="1"/>
  <c r="I77" i="13" s="1"/>
  <c r="F103" i="19" s="1"/>
  <c r="F21" i="5"/>
  <c r="K21" i="5" s="1"/>
  <c r="I181" i="9"/>
  <c r="I182" i="9" s="1"/>
  <c r="I183" i="9" s="1"/>
  <c r="I185" i="9" s="1"/>
  <c r="F19" i="18" s="1"/>
  <c r="I211" i="9"/>
  <c r="I212" i="9" s="1"/>
  <c r="I213" i="9" s="1"/>
  <c r="I215" i="9" s="1"/>
  <c r="F20" i="19" s="1"/>
  <c r="I432" i="9"/>
  <c r="I433" i="9" s="1"/>
  <c r="I434" i="9" s="1"/>
  <c r="I436" i="9" s="1"/>
  <c r="F31" i="19" s="1"/>
  <c r="I283" i="9"/>
  <c r="I284" i="9" s="1"/>
  <c r="I285" i="9" s="1"/>
  <c r="I287" i="9" s="1"/>
  <c r="F24" i="19" s="1"/>
  <c r="I341" i="4"/>
  <c r="I342" i="4" s="1"/>
  <c r="I343" i="4" s="1"/>
  <c r="I345" i="4" s="1"/>
  <c r="I347" i="4" s="1"/>
  <c r="I32" i="15"/>
  <c r="I33" i="15" s="1"/>
  <c r="I34" i="15" s="1"/>
  <c r="I36" i="15" s="1"/>
  <c r="F115" i="19" s="1"/>
  <c r="I471" i="9"/>
  <c r="I472" i="9" s="1"/>
  <c r="I473" i="9" s="1"/>
  <c r="I475" i="9" s="1"/>
  <c r="F33" i="18" s="1"/>
  <c r="I397" i="9"/>
  <c r="I398" i="9" s="1"/>
  <c r="I399" i="9" s="1"/>
  <c r="I401" i="9" s="1"/>
  <c r="F29" i="19" s="1"/>
  <c r="I148" i="13"/>
  <c r="I150" i="13" s="1"/>
  <c r="I152" i="13" s="1"/>
  <c r="F21" i="17"/>
  <c r="H21" i="17" s="1"/>
  <c r="I21" i="17" s="1"/>
  <c r="K21" i="17" s="1"/>
  <c r="L21" i="17" s="1"/>
  <c r="M21" i="17" s="1"/>
  <c r="N21" i="17" s="1"/>
  <c r="F26" i="5"/>
  <c r="K26" i="5" s="1"/>
  <c r="I360" i="9"/>
  <c r="F61" i="5"/>
  <c r="I964" i="9"/>
  <c r="F61" i="17"/>
  <c r="H61" i="17" s="1"/>
  <c r="I61" i="17" s="1"/>
  <c r="K61" i="17" s="1"/>
  <c r="L61" i="17" s="1"/>
  <c r="M61" i="17" s="1"/>
  <c r="N61" i="17" s="1"/>
  <c r="F35" i="5"/>
  <c r="F26" i="17"/>
  <c r="H26" i="17" s="1"/>
  <c r="I26" i="17" s="1"/>
  <c r="K26" i="17" s="1"/>
  <c r="L26" i="17" s="1"/>
  <c r="M26" i="17" s="1"/>
  <c r="N26" i="17" s="1"/>
  <c r="F51" i="5"/>
  <c r="K51" i="5" s="1"/>
  <c r="F51" i="18"/>
  <c r="F51" i="17"/>
  <c r="F25" i="18"/>
  <c r="F25" i="17"/>
  <c r="F85" i="18"/>
  <c r="F85" i="17"/>
  <c r="F75" i="18"/>
  <c r="F75" i="17"/>
  <c r="F57" i="18"/>
  <c r="F57" i="17"/>
  <c r="F53" i="18"/>
  <c r="F53" i="17"/>
  <c r="F83" i="17"/>
  <c r="F83" i="18"/>
  <c r="F71" i="18"/>
  <c r="F71" i="17"/>
  <c r="F63" i="18"/>
  <c r="F63" i="17"/>
  <c r="F81" i="18"/>
  <c r="F81" i="17"/>
  <c r="F73" i="18"/>
  <c r="F73" i="17"/>
  <c r="F77" i="18"/>
  <c r="F77" i="17"/>
  <c r="F65" i="18"/>
  <c r="F65" i="17"/>
  <c r="F45" i="18"/>
  <c r="F45" i="17"/>
  <c r="F59" i="18"/>
  <c r="F59" i="17"/>
  <c r="F87" i="17"/>
  <c r="F87" i="18"/>
  <c r="F69" i="18"/>
  <c r="F69" i="17"/>
  <c r="F37" i="18"/>
  <c r="F37" i="17"/>
  <c r="F67" i="18"/>
  <c r="F67" i="17"/>
  <c r="F35" i="18"/>
  <c r="F35" i="17"/>
  <c r="F89" i="18"/>
  <c r="F89" i="17"/>
  <c r="I1033" i="9"/>
  <c r="F65" i="5"/>
  <c r="K65" i="5" s="1"/>
  <c r="I842" i="9"/>
  <c r="I843" i="9" s="1"/>
  <c r="I845" i="9" s="1"/>
  <c r="F55" i="19" s="1"/>
  <c r="I1068" i="9"/>
  <c r="F67" i="5"/>
  <c r="K67" i="5" s="1"/>
  <c r="I1509" i="9"/>
  <c r="I1510" i="9" s="1"/>
  <c r="I1512" i="9" s="1"/>
  <c r="F91" i="19" s="1"/>
  <c r="I1255" i="9"/>
  <c r="F77" i="5"/>
  <c r="K77" i="5" s="1"/>
  <c r="I663" i="9"/>
  <c r="F45" i="5"/>
  <c r="K45" i="5" s="1"/>
  <c r="I1002" i="9"/>
  <c r="F63" i="5"/>
  <c r="K63" i="5" s="1"/>
  <c r="F83" i="5"/>
  <c r="K83" i="5" s="1"/>
  <c r="I1181" i="9"/>
  <c r="F73" i="5"/>
  <c r="K73" i="5" s="1"/>
  <c r="G50" i="6"/>
  <c r="I681" i="4"/>
  <c r="I325" i="9"/>
  <c r="F25" i="5"/>
  <c r="K25" i="5" s="1"/>
  <c r="F75" i="5"/>
  <c r="K75" i="5" s="1"/>
  <c r="I1106" i="9"/>
  <c r="F69" i="5"/>
  <c r="K69" i="5" s="1"/>
  <c r="I538" i="9"/>
  <c r="F37" i="5"/>
  <c r="K37" i="5" s="1"/>
  <c r="I692" i="9"/>
  <c r="I693" i="9" s="1"/>
  <c r="I695" i="9" s="1"/>
  <c r="F47" i="19" s="1"/>
  <c r="F59" i="5"/>
  <c r="K59" i="5" s="1"/>
  <c r="I1139" i="9"/>
  <c r="F71" i="5"/>
  <c r="K71" i="5" s="1"/>
  <c r="F87" i="5"/>
  <c r="K87" i="5" s="1"/>
  <c r="I1404" i="9"/>
  <c r="F85" i="5"/>
  <c r="K85" i="5" s="1"/>
  <c r="I813" i="9"/>
  <c r="F53" i="5"/>
  <c r="K53" i="5" s="1"/>
  <c r="I732" i="9"/>
  <c r="I733" i="9" s="1"/>
  <c r="I735" i="9" s="1"/>
  <c r="F49" i="19" s="1"/>
  <c r="I1329" i="9"/>
  <c r="F81" i="5"/>
  <c r="K81" i="5" s="1"/>
  <c r="F57" i="5"/>
  <c r="K57" i="5" s="1"/>
  <c r="I1287" i="9"/>
  <c r="I1288" i="9" s="1"/>
  <c r="I1290" i="9" s="1"/>
  <c r="F79" i="19" s="1"/>
  <c r="I309" i="4"/>
  <c r="D22" i="6"/>
  <c r="F22" i="6"/>
  <c r="I1109" i="4"/>
  <c r="I1110" i="4" s="1"/>
  <c r="I1111" i="4" s="1"/>
  <c r="I1113" i="4" s="1"/>
  <c r="G99" i="6" s="1"/>
  <c r="F143" i="6"/>
  <c r="D143" i="6"/>
  <c r="F143" i="8"/>
  <c r="F19" i="6"/>
  <c r="F114" i="8"/>
  <c r="D143" i="8"/>
  <c r="F125" i="7"/>
  <c r="D126" i="6"/>
  <c r="F142" i="7"/>
  <c r="D125" i="7"/>
  <c r="D126" i="8"/>
  <c r="D22" i="8"/>
  <c r="D21" i="7"/>
  <c r="F21" i="7"/>
  <c r="F22" i="8"/>
  <c r="F145" i="8"/>
  <c r="K2131" i="4"/>
  <c r="D137" i="6"/>
  <c r="F136" i="7"/>
  <c r="F84" i="8"/>
  <c r="F84" i="6"/>
  <c r="D84" i="6"/>
  <c r="D142" i="6"/>
  <c r="F142" i="8"/>
  <c r="D98" i="7"/>
  <c r="F98" i="7"/>
  <c r="F83" i="7"/>
  <c r="D136" i="7"/>
  <c r="D137" i="8"/>
  <c r="D142" i="8"/>
  <c r="D99" i="8"/>
  <c r="F137" i="8"/>
  <c r="D141" i="7"/>
  <c r="D99" i="6"/>
  <c r="D102" i="6"/>
  <c r="D83" i="7"/>
  <c r="F137" i="6"/>
  <c r="F142" i="6"/>
  <c r="F99" i="6"/>
  <c r="D102" i="8"/>
  <c r="D84" i="8"/>
  <c r="F102" i="8"/>
  <c r="F102" i="6"/>
  <c r="F141" i="8"/>
  <c r="D101" i="7"/>
  <c r="F25" i="6"/>
  <c r="F24" i="8"/>
  <c r="D24" i="8"/>
  <c r="F23" i="7"/>
  <c r="D25" i="6"/>
  <c r="D23" i="7"/>
  <c r="F139" i="6"/>
  <c r="F138" i="7"/>
  <c r="F139" i="8"/>
  <c r="D139" i="8"/>
  <c r="D138" i="7"/>
  <c r="D139" i="6"/>
  <c r="F104" i="6"/>
  <c r="F104" i="8"/>
  <c r="F103" i="7"/>
  <c r="D104" i="8"/>
  <c r="D103" i="7"/>
  <c r="D104" i="6"/>
  <c r="F59" i="8"/>
  <c r="F59" i="7"/>
  <c r="F61" i="6"/>
  <c r="D59" i="7"/>
  <c r="D59" i="8"/>
  <c r="D61" i="6"/>
  <c r="F49" i="6"/>
  <c r="D46" i="7"/>
  <c r="F47" i="8"/>
  <c r="D49" i="6"/>
  <c r="D47" i="8"/>
  <c r="F46" i="7"/>
  <c r="F147" i="6"/>
  <c r="F146" i="7"/>
  <c r="F147" i="8"/>
  <c r="D147" i="8"/>
  <c r="D146" i="7"/>
  <c r="D147" i="6"/>
  <c r="I419" i="4"/>
  <c r="I424" i="4" s="1"/>
  <c r="I425" i="4" s="1"/>
  <c r="I426" i="4" s="1"/>
  <c r="I428" i="4" s="1"/>
  <c r="G33" i="7" s="1"/>
  <c r="D59" i="6"/>
  <c r="D57" i="7"/>
  <c r="D57" i="8"/>
  <c r="F139" i="7"/>
  <c r="F140" i="8"/>
  <c r="F140" i="6"/>
  <c r="D139" i="7"/>
  <c r="D140" i="6"/>
  <c r="D140" i="8"/>
  <c r="F88" i="8"/>
  <c r="F87" i="7"/>
  <c r="F88" i="6"/>
  <c r="D88" i="8"/>
  <c r="D88" i="6"/>
  <c r="D87" i="7"/>
  <c r="F108" i="8"/>
  <c r="F107" i="7"/>
  <c r="F108" i="6"/>
  <c r="D108" i="8"/>
  <c r="D107" i="7"/>
  <c r="D108" i="6"/>
  <c r="F38" i="8"/>
  <c r="F37" i="7"/>
  <c r="F40" i="6"/>
  <c r="D37" i="7"/>
  <c r="D38" i="8"/>
  <c r="D40" i="6"/>
  <c r="F88" i="7"/>
  <c r="F89" i="8"/>
  <c r="F89" i="6"/>
  <c r="F110" i="8"/>
  <c r="F110" i="6"/>
  <c r="F109" i="7"/>
  <c r="D110" i="8"/>
  <c r="D110" i="6"/>
  <c r="D109" i="7"/>
  <c r="F100" i="8"/>
  <c r="F99" i="7"/>
  <c r="F100" i="6"/>
  <c r="D100" i="8"/>
  <c r="D99" i="7"/>
  <c r="D100" i="6"/>
  <c r="I1699" i="4"/>
  <c r="I1700" i="4" s="1"/>
  <c r="I1701" i="4" s="1"/>
  <c r="I1703" i="4" s="1"/>
  <c r="M118" i="6"/>
  <c r="N118" i="6" s="1"/>
  <c r="O118" i="6" s="1"/>
  <c r="P118" i="6" s="1"/>
  <c r="Q118" i="6" s="1"/>
  <c r="M117" i="7"/>
  <c r="N117" i="7" s="1"/>
  <c r="O117" i="7" s="1"/>
  <c r="P117" i="7" s="1"/>
  <c r="Q117" i="7" s="1"/>
  <c r="I1042" i="4"/>
  <c r="I1080" i="4"/>
  <c r="I646" i="4"/>
  <c r="I279" i="4"/>
  <c r="I280" i="4" s="1"/>
  <c r="I726" i="4"/>
  <c r="I727" i="4" s="1"/>
  <c r="I728" i="4" s="1"/>
  <c r="I730" i="4" s="1"/>
  <c r="I604" i="4"/>
  <c r="I605" i="4" s="1"/>
  <c r="G138" i="8"/>
  <c r="H138" i="8" s="1"/>
  <c r="I111" i="4"/>
  <c r="I112" i="4" s="1"/>
  <c r="I113" i="4" s="1"/>
  <c r="I115" i="4" s="1"/>
  <c r="G14" i="8" s="1"/>
  <c r="I1494" i="4"/>
  <c r="I1501" i="4" s="1"/>
  <c r="I1502" i="4" s="1"/>
  <c r="I1503" i="4" s="1"/>
  <c r="I1505" i="4" s="1"/>
  <c r="G114" i="8" s="1"/>
  <c r="I1854" i="4"/>
  <c r="I1855" i="4" s="1"/>
  <c r="I1856" i="4" s="1"/>
  <c r="I1858" i="4" s="1"/>
  <c r="I1139" i="4"/>
  <c r="I1140" i="4" s="1"/>
  <c r="I1141" i="4" s="1"/>
  <c r="I1143" i="4" s="1"/>
  <c r="I78" i="4"/>
  <c r="I386" i="4"/>
  <c r="I387" i="4" s="1"/>
  <c r="I462" i="4"/>
  <c r="I211" i="4"/>
  <c r="I212" i="4" s="1"/>
  <c r="I2123" i="4"/>
  <c r="I2125" i="4" s="1"/>
  <c r="K2125" i="4" s="1"/>
  <c r="I900" i="4"/>
  <c r="I901" i="4" s="1"/>
  <c r="I859" i="4"/>
  <c r="I860" i="4" s="1"/>
  <c r="I861" i="4" s="1"/>
  <c r="I863" i="4" s="1"/>
  <c r="I1431" i="4"/>
  <c r="I1432" i="4" s="1"/>
  <c r="I1433" i="4" s="1"/>
  <c r="I1435" i="4" s="1"/>
  <c r="G108" i="6" s="1"/>
  <c r="I968" i="4"/>
  <c r="I2002" i="4"/>
  <c r="I2009" i="4" s="1"/>
  <c r="I2010" i="4" s="1"/>
  <c r="I2011" i="4" s="1"/>
  <c r="I2013" i="4" s="1"/>
  <c r="G142" i="6" s="1"/>
  <c r="I767" i="4"/>
  <c r="I768" i="4" s="1"/>
  <c r="I769" i="4" s="1"/>
  <c r="I499" i="4"/>
  <c r="I500" i="4" s="1"/>
  <c r="I501" i="4" s="1"/>
  <c r="I503" i="4" s="1"/>
  <c r="G37" i="7" s="1"/>
  <c r="I180" i="4"/>
  <c r="I181" i="4" s="1"/>
  <c r="I182" i="4" s="1"/>
  <c r="I184" i="4" s="1"/>
  <c r="G19" i="6" s="1"/>
  <c r="I241" i="4"/>
  <c r="I1727" i="4"/>
  <c r="I1728" i="4" s="1"/>
  <c r="I1729" i="4" s="1"/>
  <c r="I1731" i="4" s="1"/>
  <c r="I138" i="4"/>
  <c r="I144" i="4" s="1"/>
  <c r="I145" i="4" s="1"/>
  <c r="I146" i="4" s="1"/>
  <c r="I148" i="4" s="1"/>
  <c r="I33" i="4"/>
  <c r="I34" i="4" s="1"/>
  <c r="I1213" i="4"/>
  <c r="I1214" i="4" s="1"/>
  <c r="I1215" i="4" s="1"/>
  <c r="I1217" i="4" s="1"/>
  <c r="G102" i="8" s="1"/>
  <c r="I1914" i="4"/>
  <c r="I1915" i="4" s="1"/>
  <c r="I1916" i="4" s="1"/>
  <c r="I1918" i="4" s="1"/>
  <c r="I1321" i="4"/>
  <c r="G116" i="6"/>
  <c r="I116" i="6" s="1"/>
  <c r="J116" i="6" s="1"/>
  <c r="I1472" i="4"/>
  <c r="I1473" i="4" s="1"/>
  <c r="I1474" i="4" s="1"/>
  <c r="I1476" i="4" s="1"/>
  <c r="I1478" i="4" s="1"/>
  <c r="I1358" i="4"/>
  <c r="I1359" i="4" s="1"/>
  <c r="I1360" i="4" s="1"/>
  <c r="I1362" i="4" s="1"/>
  <c r="G106" i="8" s="1"/>
  <c r="I1177" i="4"/>
  <c r="I1178" i="4" s="1"/>
  <c r="I1179" i="4" s="1"/>
  <c r="I1181" i="4" s="1"/>
  <c r="G116" i="8"/>
  <c r="I116" i="8" s="1"/>
  <c r="J116" i="8" s="1"/>
  <c r="M116" i="8" s="1"/>
  <c r="N116" i="8" s="1"/>
  <c r="I1081" i="4"/>
  <c r="I1945" i="4"/>
  <c r="I1946" i="4" s="1"/>
  <c r="I1947" i="4" s="1"/>
  <c r="I1949" i="4" s="1"/>
  <c r="G140" i="8" s="1"/>
  <c r="G115" i="7"/>
  <c r="I115" i="7" s="1"/>
  <c r="J115" i="7" s="1"/>
  <c r="I1395" i="4"/>
  <c r="I1396" i="4" s="1"/>
  <c r="I1397" i="4" s="1"/>
  <c r="I1399" i="4" s="1"/>
  <c r="G107" i="6" s="1"/>
  <c r="I1970" i="4"/>
  <c r="I1977" i="4" s="1"/>
  <c r="I1978" i="4" s="1"/>
  <c r="I1979" i="4" s="1"/>
  <c r="I1981" i="4" s="1"/>
  <c r="I1250" i="4"/>
  <c r="I1251" i="4" s="1"/>
  <c r="I1252" i="4" s="1"/>
  <c r="I1254" i="4" s="1"/>
  <c r="G103" i="6" s="1"/>
  <c r="I1284" i="4"/>
  <c r="I1285" i="4" s="1"/>
  <c r="I1286" i="4" s="1"/>
  <c r="I1288" i="4" s="1"/>
  <c r="G103" i="7" s="1"/>
  <c r="I2194" i="4"/>
  <c r="I2196" i="4" s="1"/>
  <c r="I2204" i="4" s="1"/>
  <c r="I2205" i="4" s="1"/>
  <c r="I2206" i="4" s="1"/>
  <c r="I2208" i="4" s="1"/>
  <c r="I2051" i="4"/>
  <c r="I2053" i="4" s="1"/>
  <c r="I2061" i="4" s="1"/>
  <c r="I2062" i="4" s="1"/>
  <c r="I2063" i="4" s="1"/>
  <c r="I2065" i="4" s="1"/>
  <c r="I816" i="4"/>
  <c r="I817" i="4" s="1"/>
  <c r="I818" i="4" s="1"/>
  <c r="I820" i="4" s="1"/>
  <c r="I822" i="4" s="1"/>
  <c r="I1043" i="4"/>
  <c r="G138" i="6"/>
  <c r="I138" i="6" s="1"/>
  <c r="J138" i="6" s="1"/>
  <c r="I2268" i="4"/>
  <c r="I2269" i="4" s="1"/>
  <c r="I2270" i="4" s="1"/>
  <c r="I2272" i="4" s="1"/>
  <c r="G137" i="7"/>
  <c r="I137" i="7" s="1"/>
  <c r="J137" i="7" s="1"/>
  <c r="I1889" i="4"/>
  <c r="I1004" i="4"/>
  <c r="I1005" i="4" s="1"/>
  <c r="I1006" i="4" s="1"/>
  <c r="G134" i="6"/>
  <c r="G134" i="8"/>
  <c r="G133" i="7"/>
  <c r="I1798" i="4"/>
  <c r="I1635" i="4"/>
  <c r="I1636" i="4" s="1"/>
  <c r="I1638" i="4" s="1"/>
  <c r="F100" i="5" l="1"/>
  <c r="K100" i="5" s="1"/>
  <c r="F121" i="5"/>
  <c r="K121" i="5" s="1"/>
  <c r="I1437" i="9"/>
  <c r="D87" i="17"/>
  <c r="E87" i="17" s="1"/>
  <c r="G87" i="17" s="1"/>
  <c r="D87" i="5"/>
  <c r="E87" i="5" s="1"/>
  <c r="G87" i="5" s="1"/>
  <c r="F103" i="5"/>
  <c r="K103" i="5" s="1"/>
  <c r="F31" i="5"/>
  <c r="K31" i="5" s="1"/>
  <c r="I438" i="9"/>
  <c r="F31" i="18"/>
  <c r="H31" i="18" s="1"/>
  <c r="I31" i="18" s="1"/>
  <c r="K31" i="18" s="1"/>
  <c r="L31" i="18" s="1"/>
  <c r="M31" i="18" s="1"/>
  <c r="N31" i="18" s="1"/>
  <c r="D71" i="5"/>
  <c r="E71" i="5" s="1"/>
  <c r="D71" i="17"/>
  <c r="E71" i="17" s="1"/>
  <c r="G71" i="17" s="1"/>
  <c r="D71" i="18"/>
  <c r="E71" i="18" s="1"/>
  <c r="G71" i="18" s="1"/>
  <c r="D87" i="19"/>
  <c r="E87" i="19" s="1"/>
  <c r="G87" i="19" s="1"/>
  <c r="H1139" i="9"/>
  <c r="I82" i="9"/>
  <c r="D87" i="18"/>
  <c r="E87" i="18" s="1"/>
  <c r="G87" i="18" s="1"/>
  <c r="G61" i="18"/>
  <c r="F14" i="18"/>
  <c r="H14" i="18" s="1"/>
  <c r="I14" i="18" s="1"/>
  <c r="K14" i="18" s="1"/>
  <c r="L14" i="18" s="1"/>
  <c r="M14" i="18" s="1"/>
  <c r="N14" i="18" s="1"/>
  <c r="F14" i="17"/>
  <c r="G14" i="17" s="1"/>
  <c r="I298" i="15"/>
  <c r="F43" i="17"/>
  <c r="H43" i="17" s="1"/>
  <c r="I43" i="17" s="1"/>
  <c r="K43" i="17" s="1"/>
  <c r="L43" i="17" s="1"/>
  <c r="M43" i="17" s="1"/>
  <c r="N43" i="17" s="1"/>
  <c r="F43" i="18"/>
  <c r="F129" i="17"/>
  <c r="H129" i="17" s="1"/>
  <c r="I129" i="17" s="1"/>
  <c r="K129" i="17" s="1"/>
  <c r="L129" i="17" s="1"/>
  <c r="M129" i="17" s="1"/>
  <c r="N129" i="17" s="1"/>
  <c r="F43" i="5"/>
  <c r="K43" i="5" s="1"/>
  <c r="H1515" i="9"/>
  <c r="D91" i="17"/>
  <c r="E91" i="17" s="1"/>
  <c r="D91" i="5"/>
  <c r="E91" i="5" s="1"/>
  <c r="D91" i="19"/>
  <c r="E91" i="19" s="1"/>
  <c r="G91" i="19" s="1"/>
  <c r="D91" i="18"/>
  <c r="E91" i="18" s="1"/>
  <c r="H1214" i="9"/>
  <c r="D75" i="5"/>
  <c r="E75" i="5" s="1"/>
  <c r="D75" i="18"/>
  <c r="E75" i="18" s="1"/>
  <c r="G75" i="18" s="1"/>
  <c r="D75" i="19"/>
  <c r="E75" i="19" s="1"/>
  <c r="G75" i="19" s="1"/>
  <c r="D75" i="17"/>
  <c r="E75" i="17" s="1"/>
  <c r="G75" i="17" s="1"/>
  <c r="I1214" i="9"/>
  <c r="H890" i="9"/>
  <c r="D57" i="19"/>
  <c r="E57" i="19" s="1"/>
  <c r="G57" i="19" s="1"/>
  <c r="D57" i="17"/>
  <c r="E57" i="17" s="1"/>
  <c r="D57" i="18"/>
  <c r="E57" i="18" s="1"/>
  <c r="G57" i="18" s="1"/>
  <c r="D57" i="5"/>
  <c r="E57" i="5" s="1"/>
  <c r="G57" i="5" s="1"/>
  <c r="H847" i="9"/>
  <c r="D55" i="17"/>
  <c r="E55" i="17" s="1"/>
  <c r="D55" i="19"/>
  <c r="E55" i="19" s="1"/>
  <c r="G55" i="19" s="1"/>
  <c r="D55" i="5"/>
  <c r="E55" i="5" s="1"/>
  <c r="D55" i="18"/>
  <c r="E55" i="18" s="1"/>
  <c r="H620" i="9"/>
  <c r="D43" i="19"/>
  <c r="E43" i="19" s="1"/>
  <c r="G43" i="19" s="1"/>
  <c r="D43" i="18"/>
  <c r="E43" i="18" s="1"/>
  <c r="D43" i="5"/>
  <c r="E43" i="5" s="1"/>
  <c r="D43" i="17"/>
  <c r="E43" i="17" s="1"/>
  <c r="G147" i="18"/>
  <c r="H61" i="18"/>
  <c r="I61" i="18" s="1"/>
  <c r="K61" i="18" s="1"/>
  <c r="L61" i="18" s="1"/>
  <c r="M61" i="18" s="1"/>
  <c r="N61" i="18" s="1"/>
  <c r="I152" i="9"/>
  <c r="I890" i="9"/>
  <c r="D47" i="17"/>
  <c r="E47" i="17" s="1"/>
  <c r="D47" i="19"/>
  <c r="E47" i="19" s="1"/>
  <c r="D47" i="5"/>
  <c r="E47" i="5" s="1"/>
  <c r="H697" i="9"/>
  <c r="D47" i="18"/>
  <c r="E47" i="18" s="1"/>
  <c r="H1478" i="9"/>
  <c r="D89" i="19"/>
  <c r="E89" i="19" s="1"/>
  <c r="G89" i="19" s="1"/>
  <c r="D89" i="18"/>
  <c r="E89" i="18" s="1"/>
  <c r="D89" i="5"/>
  <c r="E89" i="5" s="1"/>
  <c r="G89" i="5" s="1"/>
  <c r="D89" i="17"/>
  <c r="E89" i="17" s="1"/>
  <c r="G89" i="17" s="1"/>
  <c r="F16" i="17"/>
  <c r="H16" i="17" s="1"/>
  <c r="I16" i="17" s="1"/>
  <c r="K16" i="17" s="1"/>
  <c r="L16" i="17" s="1"/>
  <c r="M16" i="17" s="1"/>
  <c r="N16" i="17" s="1"/>
  <c r="H918" i="9"/>
  <c r="H919" i="9" s="1"/>
  <c r="H921" i="9" s="1"/>
  <c r="G145" i="17"/>
  <c r="F103" i="17"/>
  <c r="H103" i="17" s="1"/>
  <c r="I103" i="17" s="1"/>
  <c r="K103" i="17" s="1"/>
  <c r="L103" i="17" s="1"/>
  <c r="M103" i="17" s="1"/>
  <c r="N103" i="17" s="1"/>
  <c r="I25" i="14"/>
  <c r="I26" i="14" s="1"/>
  <c r="I28" i="14" s="1"/>
  <c r="F138" i="19" s="1"/>
  <c r="G138" i="19" s="1"/>
  <c r="I620" i="9"/>
  <c r="I79" i="13"/>
  <c r="I262" i="15"/>
  <c r="I1478" i="9"/>
  <c r="H1362" i="9"/>
  <c r="D83" i="19"/>
  <c r="E83" i="19" s="1"/>
  <c r="G83" i="19" s="1"/>
  <c r="D83" i="17"/>
  <c r="E83" i="17" s="1"/>
  <c r="G83" i="17" s="1"/>
  <c r="D83" i="18"/>
  <c r="E83" i="18" s="1"/>
  <c r="G83" i="18" s="1"/>
  <c r="D83" i="5"/>
  <c r="E83" i="5" s="1"/>
  <c r="F127" i="5"/>
  <c r="K127" i="5" s="1"/>
  <c r="F127" i="18"/>
  <c r="G127" i="18" s="1"/>
  <c r="G147" i="17"/>
  <c r="I43" i="13"/>
  <c r="I477" i="9"/>
  <c r="F119" i="5"/>
  <c r="H119" i="5" s="1"/>
  <c r="I119" i="5" s="1"/>
  <c r="F119" i="17"/>
  <c r="G119" i="17" s="1"/>
  <c r="F115" i="17"/>
  <c r="I114" i="15"/>
  <c r="F115" i="18"/>
  <c r="H115" i="18" s="1"/>
  <c r="I115" i="18" s="1"/>
  <c r="K115" i="18" s="1"/>
  <c r="L115" i="18" s="1"/>
  <c r="M115" i="18" s="1"/>
  <c r="N115" i="18" s="1"/>
  <c r="K35" i="9"/>
  <c r="F31" i="17"/>
  <c r="H31" i="17" s="1"/>
  <c r="I31" i="17" s="1"/>
  <c r="K31" i="17" s="1"/>
  <c r="L31" i="17" s="1"/>
  <c r="M31" i="17" s="1"/>
  <c r="N31" i="17" s="1"/>
  <c r="F115" i="5"/>
  <c r="K115" i="5" s="1"/>
  <c r="F29" i="5"/>
  <c r="K29" i="5" s="1"/>
  <c r="F108" i="5"/>
  <c r="K108" i="5" s="1"/>
  <c r="F123" i="5"/>
  <c r="K123" i="5" s="1"/>
  <c r="F24" i="17"/>
  <c r="H24" i="17" s="1"/>
  <c r="I24" i="17" s="1"/>
  <c r="K24" i="17" s="1"/>
  <c r="L24" i="17" s="1"/>
  <c r="M24" i="17" s="1"/>
  <c r="N24" i="17" s="1"/>
  <c r="I38" i="15"/>
  <c r="I403" i="9"/>
  <c r="I192" i="13"/>
  <c r="F127" i="17"/>
  <c r="G127" i="17" s="1"/>
  <c r="F24" i="18"/>
  <c r="H24" i="18" s="1"/>
  <c r="I24" i="18" s="1"/>
  <c r="K24" i="18" s="1"/>
  <c r="L24" i="18" s="1"/>
  <c r="M24" i="18" s="1"/>
  <c r="N24" i="18" s="1"/>
  <c r="F100" i="17"/>
  <c r="H100" i="17" s="1"/>
  <c r="I100" i="17" s="1"/>
  <c r="K100" i="17" s="1"/>
  <c r="L100" i="17" s="1"/>
  <c r="M100" i="17" s="1"/>
  <c r="N100" i="17" s="1"/>
  <c r="F33" i="5"/>
  <c r="K33" i="5" s="1"/>
  <c r="F12" i="18"/>
  <c r="H12" i="18" s="1"/>
  <c r="I12" i="18" s="1"/>
  <c r="K12" i="18" s="1"/>
  <c r="L12" i="18" s="1"/>
  <c r="M12" i="18" s="1"/>
  <c r="N12" i="18" s="1"/>
  <c r="F100" i="18"/>
  <c r="G100" i="18" s="1"/>
  <c r="F119" i="18"/>
  <c r="H119" i="18" s="1"/>
  <c r="I119" i="18" s="1"/>
  <c r="K119" i="18" s="1"/>
  <c r="L119" i="18" s="1"/>
  <c r="M119" i="18" s="1"/>
  <c r="N119" i="18" s="1"/>
  <c r="F117" i="17"/>
  <c r="G117" i="17" s="1"/>
  <c r="H26" i="5"/>
  <c r="I26" i="5" s="1"/>
  <c r="L26" i="5" s="1"/>
  <c r="M26" i="5" s="1"/>
  <c r="N26" i="5" s="1"/>
  <c r="G21" i="18"/>
  <c r="F117" i="18"/>
  <c r="G117" i="18" s="1"/>
  <c r="F117" i="5"/>
  <c r="K117" i="5" s="1"/>
  <c r="F24" i="5"/>
  <c r="K24" i="5" s="1"/>
  <c r="F108" i="17"/>
  <c r="H108" i="17" s="1"/>
  <c r="I108" i="17" s="1"/>
  <c r="K108" i="17" s="1"/>
  <c r="L108" i="17" s="1"/>
  <c r="M108" i="17" s="1"/>
  <c r="N108" i="17" s="1"/>
  <c r="I76" i="15"/>
  <c r="F12" i="5"/>
  <c r="K12" i="5" s="1"/>
  <c r="F108" i="18"/>
  <c r="H108" i="18" s="1"/>
  <c r="I108" i="18" s="1"/>
  <c r="K108" i="18" s="1"/>
  <c r="L108" i="18" s="1"/>
  <c r="M108" i="18" s="1"/>
  <c r="N108" i="18" s="1"/>
  <c r="H20" i="19"/>
  <c r="I20" i="19" s="1"/>
  <c r="K20" i="19" s="1"/>
  <c r="L20" i="19" s="1"/>
  <c r="M20" i="19" s="1"/>
  <c r="N20" i="19" s="1"/>
  <c r="G20" i="19"/>
  <c r="G41" i="19"/>
  <c r="H41" i="19"/>
  <c r="I41" i="19" s="1"/>
  <c r="K41" i="19" s="1"/>
  <c r="L41" i="19" s="1"/>
  <c r="M41" i="19" s="1"/>
  <c r="N41" i="19" s="1"/>
  <c r="H121" i="19"/>
  <c r="I121" i="19" s="1"/>
  <c r="K121" i="19" s="1"/>
  <c r="L121" i="19" s="1"/>
  <c r="M121" i="19" s="1"/>
  <c r="N121" i="19" s="1"/>
  <c r="G121" i="19"/>
  <c r="F16" i="18"/>
  <c r="H16" i="18" s="1"/>
  <c r="I16" i="18" s="1"/>
  <c r="K16" i="18" s="1"/>
  <c r="L16" i="18" s="1"/>
  <c r="M16" i="18" s="1"/>
  <c r="N16" i="18" s="1"/>
  <c r="H26" i="18"/>
  <c r="I26" i="18" s="1"/>
  <c r="K26" i="18" s="1"/>
  <c r="L26" i="18" s="1"/>
  <c r="M26" i="18" s="1"/>
  <c r="N26" i="18" s="1"/>
  <c r="F19" i="17"/>
  <c r="G19" i="17" s="1"/>
  <c r="F19" i="19"/>
  <c r="H127" i="19"/>
  <c r="I127" i="19" s="1"/>
  <c r="K127" i="19" s="1"/>
  <c r="L127" i="19" s="1"/>
  <c r="M127" i="19" s="1"/>
  <c r="N127" i="19" s="1"/>
  <c r="G127" i="19"/>
  <c r="H61" i="19"/>
  <c r="I61" i="19" s="1"/>
  <c r="K61" i="19" s="1"/>
  <c r="L61" i="19" s="1"/>
  <c r="M61" i="19" s="1"/>
  <c r="N61" i="19" s="1"/>
  <c r="G61" i="19"/>
  <c r="F16" i="5"/>
  <c r="K16" i="5" s="1"/>
  <c r="H103" i="19"/>
  <c r="I103" i="19" s="1"/>
  <c r="K103" i="19" s="1"/>
  <c r="L103" i="19" s="1"/>
  <c r="M103" i="19" s="1"/>
  <c r="N103" i="19" s="1"/>
  <c r="G103" i="19"/>
  <c r="G26" i="19"/>
  <c r="H26" i="19"/>
  <c r="I26" i="19" s="1"/>
  <c r="K26" i="19" s="1"/>
  <c r="L26" i="19" s="1"/>
  <c r="M26" i="19" s="1"/>
  <c r="N26" i="19" s="1"/>
  <c r="H55" i="19"/>
  <c r="I55" i="19" s="1"/>
  <c r="K55" i="19" s="1"/>
  <c r="L55" i="19" s="1"/>
  <c r="M55" i="19" s="1"/>
  <c r="N55" i="19" s="1"/>
  <c r="F106" i="17"/>
  <c r="H106" i="17" s="1"/>
  <c r="I106" i="17" s="1"/>
  <c r="K106" i="17" s="1"/>
  <c r="L106" i="17" s="1"/>
  <c r="M106" i="17" s="1"/>
  <c r="N106" i="17" s="1"/>
  <c r="F106" i="19"/>
  <c r="G79" i="19"/>
  <c r="H79" i="19"/>
  <c r="I79" i="19" s="1"/>
  <c r="K79" i="19" s="1"/>
  <c r="L79" i="19" s="1"/>
  <c r="M79" i="19" s="1"/>
  <c r="N79" i="19" s="1"/>
  <c r="H29" i="19"/>
  <c r="I29" i="19" s="1"/>
  <c r="K29" i="19" s="1"/>
  <c r="L29" i="19" s="1"/>
  <c r="M29" i="19" s="1"/>
  <c r="N29" i="19" s="1"/>
  <c r="G29" i="19"/>
  <c r="F123" i="18"/>
  <c r="G123" i="18" s="1"/>
  <c r="F123" i="19"/>
  <c r="H91" i="19"/>
  <c r="I91" i="19" s="1"/>
  <c r="K91" i="19" s="1"/>
  <c r="L91" i="19" s="1"/>
  <c r="M91" i="19" s="1"/>
  <c r="N91" i="19" s="1"/>
  <c r="F129" i="18"/>
  <c r="G129" i="18" s="1"/>
  <c r="G35" i="19"/>
  <c r="H35" i="19"/>
  <c r="I35" i="19" s="1"/>
  <c r="K35" i="19" s="1"/>
  <c r="L35" i="19" s="1"/>
  <c r="M35" i="19" s="1"/>
  <c r="N35" i="19" s="1"/>
  <c r="F121" i="18"/>
  <c r="H121" i="18" s="1"/>
  <c r="I121" i="18" s="1"/>
  <c r="K121" i="18" s="1"/>
  <c r="L121" i="18" s="1"/>
  <c r="M121" i="18" s="1"/>
  <c r="N121" i="18" s="1"/>
  <c r="F33" i="17"/>
  <c r="H33" i="17" s="1"/>
  <c r="I33" i="17" s="1"/>
  <c r="K33" i="17" s="1"/>
  <c r="L33" i="17" s="1"/>
  <c r="M33" i="17" s="1"/>
  <c r="N33" i="17" s="1"/>
  <c r="F33" i="19"/>
  <c r="G100" i="19"/>
  <c r="H100" i="19"/>
  <c r="I100" i="19" s="1"/>
  <c r="K100" i="19" s="1"/>
  <c r="L100" i="19" s="1"/>
  <c r="M100" i="19" s="1"/>
  <c r="N100" i="19" s="1"/>
  <c r="G16" i="19"/>
  <c r="H16" i="19"/>
  <c r="I16" i="19" s="1"/>
  <c r="K16" i="19" s="1"/>
  <c r="L16" i="19" s="1"/>
  <c r="M16" i="19" s="1"/>
  <c r="N16" i="19" s="1"/>
  <c r="I151" i="15"/>
  <c r="F140" i="5"/>
  <c r="K140" i="5" s="1"/>
  <c r="G21" i="17"/>
  <c r="H115" i="19"/>
  <c r="I115" i="19" s="1"/>
  <c r="K115" i="19" s="1"/>
  <c r="L115" i="19" s="1"/>
  <c r="M115" i="19" s="1"/>
  <c r="N115" i="19" s="1"/>
  <c r="G115" i="19"/>
  <c r="H10" i="19"/>
  <c r="I10" i="19" s="1"/>
  <c r="K10" i="19" s="1"/>
  <c r="L10" i="19" s="1"/>
  <c r="M10" i="19" s="1"/>
  <c r="N10" i="19" s="1"/>
  <c r="G10" i="19"/>
  <c r="G108" i="19"/>
  <c r="H108" i="19"/>
  <c r="I108" i="19" s="1"/>
  <c r="K108" i="19" s="1"/>
  <c r="L108" i="19" s="1"/>
  <c r="M108" i="19" s="1"/>
  <c r="N108" i="19" s="1"/>
  <c r="H119" i="19"/>
  <c r="I119" i="19" s="1"/>
  <c r="K119" i="19" s="1"/>
  <c r="L119" i="19" s="1"/>
  <c r="M119" i="19" s="1"/>
  <c r="N119" i="19" s="1"/>
  <c r="G119" i="19"/>
  <c r="F121" i="17"/>
  <c r="G121" i="17" s="1"/>
  <c r="I59" i="14"/>
  <c r="H104" i="19"/>
  <c r="I104" i="19" s="1"/>
  <c r="K104" i="19" s="1"/>
  <c r="L104" i="19" s="1"/>
  <c r="M104" i="19" s="1"/>
  <c r="N104" i="19" s="1"/>
  <c r="G104" i="19"/>
  <c r="H49" i="19"/>
  <c r="I49" i="19" s="1"/>
  <c r="K49" i="19" s="1"/>
  <c r="L49" i="19" s="1"/>
  <c r="M49" i="19" s="1"/>
  <c r="N49" i="19" s="1"/>
  <c r="G49" i="19"/>
  <c r="F125" i="5"/>
  <c r="K125" i="5" s="1"/>
  <c r="F125" i="19"/>
  <c r="G145" i="18"/>
  <c r="F140" i="17"/>
  <c r="G140" i="17" s="1"/>
  <c r="F29" i="17"/>
  <c r="H29" i="17" s="1"/>
  <c r="I29" i="17" s="1"/>
  <c r="K29" i="17" s="1"/>
  <c r="L29" i="17" s="1"/>
  <c r="M29" i="17" s="1"/>
  <c r="N29" i="17" s="1"/>
  <c r="F123" i="17"/>
  <c r="G123" i="17" s="1"/>
  <c r="H24" i="19"/>
  <c r="I24" i="19" s="1"/>
  <c r="K24" i="19" s="1"/>
  <c r="L24" i="19" s="1"/>
  <c r="M24" i="19" s="1"/>
  <c r="N24" i="19" s="1"/>
  <c r="G24" i="19"/>
  <c r="G12" i="19"/>
  <c r="H12" i="19"/>
  <c r="I12" i="19" s="1"/>
  <c r="K12" i="19" s="1"/>
  <c r="L12" i="19" s="1"/>
  <c r="M12" i="19" s="1"/>
  <c r="N12" i="19" s="1"/>
  <c r="H117" i="19"/>
  <c r="I117" i="19" s="1"/>
  <c r="K117" i="19" s="1"/>
  <c r="L117" i="19" s="1"/>
  <c r="M117" i="19" s="1"/>
  <c r="N117" i="19" s="1"/>
  <c r="G117" i="19"/>
  <c r="H140" i="19"/>
  <c r="I140" i="19" s="1"/>
  <c r="K140" i="19" s="1"/>
  <c r="L140" i="19" s="1"/>
  <c r="M140" i="19" s="1"/>
  <c r="N140" i="19" s="1"/>
  <c r="G140" i="19"/>
  <c r="H129" i="19"/>
  <c r="I129" i="19" s="1"/>
  <c r="K129" i="19" s="1"/>
  <c r="L129" i="19" s="1"/>
  <c r="M129" i="19" s="1"/>
  <c r="N129" i="19" s="1"/>
  <c r="G129" i="19"/>
  <c r="G47" i="19"/>
  <c r="H47" i="19"/>
  <c r="I47" i="19" s="1"/>
  <c r="K47" i="19" s="1"/>
  <c r="L47" i="19" s="1"/>
  <c r="M47" i="19" s="1"/>
  <c r="N47" i="19" s="1"/>
  <c r="I225" i="15"/>
  <c r="F129" i="5"/>
  <c r="K129" i="5" s="1"/>
  <c r="I289" i="9"/>
  <c r="F140" i="18"/>
  <c r="G140" i="18" s="1"/>
  <c r="F12" i="17"/>
  <c r="G12" i="17" s="1"/>
  <c r="F103" i="18"/>
  <c r="G103" i="18" s="1"/>
  <c r="F29" i="18"/>
  <c r="G29" i="18" s="1"/>
  <c r="H31" i="19"/>
  <c r="I31" i="19" s="1"/>
  <c r="K31" i="19" s="1"/>
  <c r="L31" i="19" s="1"/>
  <c r="M31" i="19" s="1"/>
  <c r="N31" i="19" s="1"/>
  <c r="G31" i="19"/>
  <c r="F14" i="5"/>
  <c r="K14" i="5" s="1"/>
  <c r="F14" i="19"/>
  <c r="G26" i="5"/>
  <c r="H61" i="5"/>
  <c r="I61" i="5" s="1"/>
  <c r="K61" i="5"/>
  <c r="H145" i="5"/>
  <c r="I145" i="5" s="1"/>
  <c r="K145" i="5"/>
  <c r="G35" i="5"/>
  <c r="K35" i="5"/>
  <c r="H147" i="5"/>
  <c r="I147" i="5" s="1"/>
  <c r="L147" i="5" s="1"/>
  <c r="M147" i="5" s="1"/>
  <c r="N147" i="5" s="1"/>
  <c r="H89" i="5"/>
  <c r="I89" i="5" s="1"/>
  <c r="L89" i="5" s="1"/>
  <c r="M89" i="5" s="1"/>
  <c r="N89" i="5" s="1"/>
  <c r="G147" i="5"/>
  <c r="F106" i="5"/>
  <c r="K106" i="5" s="1"/>
  <c r="F106" i="18"/>
  <c r="H106" i="18" s="1"/>
  <c r="I106" i="18" s="1"/>
  <c r="K106" i="18" s="1"/>
  <c r="L106" i="18" s="1"/>
  <c r="M106" i="18" s="1"/>
  <c r="N106" i="18" s="1"/>
  <c r="G145" i="5"/>
  <c r="G61" i="5"/>
  <c r="F125" i="18"/>
  <c r="G125" i="18" s="1"/>
  <c r="H35" i="5"/>
  <c r="I35" i="5" s="1"/>
  <c r="F19" i="5"/>
  <c r="K19" i="5" s="1"/>
  <c r="I153" i="13"/>
  <c r="F104" i="18"/>
  <c r="I110" i="13"/>
  <c r="F104" i="17"/>
  <c r="F104" i="5"/>
  <c r="K104" i="5" s="1"/>
  <c r="H14" i="17"/>
  <c r="I14" i="17" s="1"/>
  <c r="K14" i="17" s="1"/>
  <c r="L14" i="17" s="1"/>
  <c r="M14" i="17" s="1"/>
  <c r="N14" i="17" s="1"/>
  <c r="G61" i="17"/>
  <c r="G14" i="18"/>
  <c r="G26" i="17"/>
  <c r="F49" i="18"/>
  <c r="F49" i="17"/>
  <c r="F10" i="18"/>
  <c r="F10" i="17"/>
  <c r="H73" i="18"/>
  <c r="I73" i="18" s="1"/>
  <c r="K73" i="18" s="1"/>
  <c r="L73" i="18" s="1"/>
  <c r="M73" i="18" s="1"/>
  <c r="N73" i="18" s="1"/>
  <c r="G73" i="18"/>
  <c r="H57" i="17"/>
  <c r="I57" i="17" s="1"/>
  <c r="K57" i="17" s="1"/>
  <c r="L57" i="17" s="1"/>
  <c r="M57" i="17" s="1"/>
  <c r="N57" i="17" s="1"/>
  <c r="G57" i="17"/>
  <c r="H25" i="17"/>
  <c r="I25" i="17" s="1"/>
  <c r="K25" i="17" s="1"/>
  <c r="L25" i="17" s="1"/>
  <c r="M25" i="17" s="1"/>
  <c r="N25" i="17" s="1"/>
  <c r="G25" i="17"/>
  <c r="F47" i="18"/>
  <c r="F47" i="17"/>
  <c r="F20" i="18"/>
  <c r="F20" i="17"/>
  <c r="F41" i="18"/>
  <c r="F41" i="17"/>
  <c r="F55" i="18"/>
  <c r="F55" i="17"/>
  <c r="H35" i="17"/>
  <c r="I35" i="17" s="1"/>
  <c r="K35" i="17" s="1"/>
  <c r="L35" i="17" s="1"/>
  <c r="M35" i="17" s="1"/>
  <c r="N35" i="17" s="1"/>
  <c r="G35" i="17"/>
  <c r="H69" i="17"/>
  <c r="I69" i="17" s="1"/>
  <c r="K69" i="17" s="1"/>
  <c r="L69" i="17" s="1"/>
  <c r="M69" i="17" s="1"/>
  <c r="N69" i="17" s="1"/>
  <c r="G69" i="17"/>
  <c r="H57" i="18"/>
  <c r="I57" i="18" s="1"/>
  <c r="K57" i="18" s="1"/>
  <c r="L57" i="18" s="1"/>
  <c r="M57" i="18" s="1"/>
  <c r="N57" i="18" s="1"/>
  <c r="G33" i="18"/>
  <c r="H33" i="18"/>
  <c r="I33" i="18" s="1"/>
  <c r="K33" i="18" s="1"/>
  <c r="L33" i="18" s="1"/>
  <c r="M33" i="18" s="1"/>
  <c r="N33" i="18" s="1"/>
  <c r="H25" i="18"/>
  <c r="I25" i="18" s="1"/>
  <c r="K25" i="18" s="1"/>
  <c r="L25" i="18" s="1"/>
  <c r="M25" i="18" s="1"/>
  <c r="N25" i="18" s="1"/>
  <c r="G25" i="18"/>
  <c r="G51" i="5"/>
  <c r="H51" i="5"/>
  <c r="I51" i="5" s="1"/>
  <c r="L51" i="5" s="1"/>
  <c r="M51" i="5" s="1"/>
  <c r="N51" i="5" s="1"/>
  <c r="F79" i="5"/>
  <c r="F79" i="17"/>
  <c r="F79" i="18"/>
  <c r="H89" i="17"/>
  <c r="I89" i="17" s="1"/>
  <c r="K89" i="17" s="1"/>
  <c r="L89" i="17" s="1"/>
  <c r="M89" i="17" s="1"/>
  <c r="N89" i="17" s="1"/>
  <c r="H35" i="18"/>
  <c r="I35" i="18" s="1"/>
  <c r="K35" i="18" s="1"/>
  <c r="L35" i="18" s="1"/>
  <c r="M35" i="18" s="1"/>
  <c r="N35" i="18" s="1"/>
  <c r="G35" i="18"/>
  <c r="H69" i="18"/>
  <c r="I69" i="18" s="1"/>
  <c r="K69" i="18" s="1"/>
  <c r="L69" i="18" s="1"/>
  <c r="M69" i="18" s="1"/>
  <c r="N69" i="18" s="1"/>
  <c r="G69" i="18"/>
  <c r="H81" i="17"/>
  <c r="I81" i="17" s="1"/>
  <c r="K81" i="17" s="1"/>
  <c r="L81" i="17" s="1"/>
  <c r="M81" i="17" s="1"/>
  <c r="N81" i="17" s="1"/>
  <c r="G81" i="17"/>
  <c r="H71" i="17"/>
  <c r="I71" i="17" s="1"/>
  <c r="K71" i="17" s="1"/>
  <c r="L71" i="17" s="1"/>
  <c r="M71" i="17" s="1"/>
  <c r="N71" i="17" s="1"/>
  <c r="H89" i="18"/>
  <c r="I89" i="18" s="1"/>
  <c r="K89" i="18" s="1"/>
  <c r="L89" i="18" s="1"/>
  <c r="M89" i="18" s="1"/>
  <c r="N89" i="18" s="1"/>
  <c r="G89" i="18"/>
  <c r="H67" i="17"/>
  <c r="I67" i="17" s="1"/>
  <c r="K67" i="17" s="1"/>
  <c r="L67" i="17" s="1"/>
  <c r="M67" i="17" s="1"/>
  <c r="N67" i="17" s="1"/>
  <c r="G67" i="17"/>
  <c r="H87" i="18"/>
  <c r="I87" i="18" s="1"/>
  <c r="K87" i="18" s="1"/>
  <c r="L87" i="18" s="1"/>
  <c r="M87" i="18" s="1"/>
  <c r="N87" i="18" s="1"/>
  <c r="H65" i="17"/>
  <c r="I65" i="17" s="1"/>
  <c r="K65" i="17" s="1"/>
  <c r="L65" i="17" s="1"/>
  <c r="M65" i="17" s="1"/>
  <c r="N65" i="17" s="1"/>
  <c r="G65" i="17"/>
  <c r="H81" i="18"/>
  <c r="I81" i="18" s="1"/>
  <c r="K81" i="18" s="1"/>
  <c r="L81" i="18" s="1"/>
  <c r="M81" i="18" s="1"/>
  <c r="N81" i="18" s="1"/>
  <c r="G81" i="18"/>
  <c r="H71" i="18"/>
  <c r="I71" i="18" s="1"/>
  <c r="K71" i="18" s="1"/>
  <c r="L71" i="18" s="1"/>
  <c r="M71" i="18" s="1"/>
  <c r="N71" i="18" s="1"/>
  <c r="H75" i="17"/>
  <c r="I75" i="17" s="1"/>
  <c r="K75" i="17" s="1"/>
  <c r="L75" i="17" s="1"/>
  <c r="M75" i="17" s="1"/>
  <c r="N75" i="17" s="1"/>
  <c r="H85" i="17"/>
  <c r="I85" i="17" s="1"/>
  <c r="K85" i="17" s="1"/>
  <c r="L85" i="17" s="1"/>
  <c r="M85" i="17" s="1"/>
  <c r="N85" i="17" s="1"/>
  <c r="G85" i="17"/>
  <c r="G67" i="18"/>
  <c r="H67" i="18"/>
  <c r="I67" i="18" s="1"/>
  <c r="K67" i="18" s="1"/>
  <c r="L67" i="18" s="1"/>
  <c r="M67" i="18" s="1"/>
  <c r="N67" i="18" s="1"/>
  <c r="H87" i="17"/>
  <c r="I87" i="17" s="1"/>
  <c r="K87" i="17" s="1"/>
  <c r="L87" i="17" s="1"/>
  <c r="M87" i="17" s="1"/>
  <c r="N87" i="17" s="1"/>
  <c r="H45" i="17"/>
  <c r="I45" i="17" s="1"/>
  <c r="K45" i="17" s="1"/>
  <c r="L45" i="17" s="1"/>
  <c r="M45" i="17" s="1"/>
  <c r="N45" i="17" s="1"/>
  <c r="G45" i="17"/>
  <c r="G65" i="18"/>
  <c r="H65" i="18"/>
  <c r="I65" i="18" s="1"/>
  <c r="K65" i="18" s="1"/>
  <c r="L65" i="18" s="1"/>
  <c r="M65" i="18" s="1"/>
  <c r="N65" i="18" s="1"/>
  <c r="H77" i="17"/>
  <c r="I77" i="17" s="1"/>
  <c r="K77" i="17" s="1"/>
  <c r="L77" i="17" s="1"/>
  <c r="M77" i="17" s="1"/>
  <c r="N77" i="17" s="1"/>
  <c r="G77" i="17"/>
  <c r="H63" i="17"/>
  <c r="I63" i="17" s="1"/>
  <c r="K63" i="17" s="1"/>
  <c r="L63" i="17" s="1"/>
  <c r="M63" i="17" s="1"/>
  <c r="N63" i="17" s="1"/>
  <c r="G63" i="17"/>
  <c r="H75" i="18"/>
  <c r="I75" i="18" s="1"/>
  <c r="K75" i="18" s="1"/>
  <c r="L75" i="18" s="1"/>
  <c r="M75" i="18" s="1"/>
  <c r="N75" i="18" s="1"/>
  <c r="H85" i="18"/>
  <c r="I85" i="18" s="1"/>
  <c r="K85" i="18" s="1"/>
  <c r="L85" i="18" s="1"/>
  <c r="M85" i="18" s="1"/>
  <c r="N85" i="18" s="1"/>
  <c r="G85" i="18"/>
  <c r="F91" i="18"/>
  <c r="F91" i="17"/>
  <c r="G45" i="18"/>
  <c r="H45" i="18"/>
  <c r="I45" i="18" s="1"/>
  <c r="K45" i="18" s="1"/>
  <c r="L45" i="18" s="1"/>
  <c r="M45" i="18" s="1"/>
  <c r="N45" i="18" s="1"/>
  <c r="H43" i="18"/>
  <c r="I43" i="18" s="1"/>
  <c r="K43" i="18" s="1"/>
  <c r="L43" i="18" s="1"/>
  <c r="M43" i="18" s="1"/>
  <c r="N43" i="18" s="1"/>
  <c r="H77" i="18"/>
  <c r="I77" i="18" s="1"/>
  <c r="K77" i="18" s="1"/>
  <c r="L77" i="18" s="1"/>
  <c r="M77" i="18" s="1"/>
  <c r="N77" i="18" s="1"/>
  <c r="G77" i="18"/>
  <c r="G63" i="18"/>
  <c r="H63" i="18"/>
  <c r="I63" i="18" s="1"/>
  <c r="K63" i="18" s="1"/>
  <c r="L63" i="18" s="1"/>
  <c r="M63" i="18" s="1"/>
  <c r="N63" i="18" s="1"/>
  <c r="H83" i="18"/>
  <c r="I83" i="18" s="1"/>
  <c r="K83" i="18" s="1"/>
  <c r="L83" i="18" s="1"/>
  <c r="M83" i="18" s="1"/>
  <c r="N83" i="18" s="1"/>
  <c r="H53" i="17"/>
  <c r="I53" i="17" s="1"/>
  <c r="K53" i="17" s="1"/>
  <c r="L53" i="17" s="1"/>
  <c r="M53" i="17" s="1"/>
  <c r="N53" i="17" s="1"/>
  <c r="G53" i="17"/>
  <c r="H37" i="17"/>
  <c r="I37" i="17" s="1"/>
  <c r="K37" i="17" s="1"/>
  <c r="L37" i="17" s="1"/>
  <c r="M37" i="17" s="1"/>
  <c r="N37" i="17" s="1"/>
  <c r="G37" i="17"/>
  <c r="H59" i="17"/>
  <c r="I59" i="17" s="1"/>
  <c r="K59" i="17" s="1"/>
  <c r="L59" i="17" s="1"/>
  <c r="M59" i="17" s="1"/>
  <c r="N59" i="17" s="1"/>
  <c r="H19" i="18"/>
  <c r="I19" i="18" s="1"/>
  <c r="K19" i="18" s="1"/>
  <c r="L19" i="18" s="1"/>
  <c r="M19" i="18" s="1"/>
  <c r="N19" i="18" s="1"/>
  <c r="G19" i="18"/>
  <c r="H53" i="18"/>
  <c r="I53" i="18" s="1"/>
  <c r="K53" i="18" s="1"/>
  <c r="L53" i="18" s="1"/>
  <c r="M53" i="18" s="1"/>
  <c r="N53" i="18" s="1"/>
  <c r="G53" i="18"/>
  <c r="H115" i="17"/>
  <c r="I115" i="17" s="1"/>
  <c r="K115" i="17" s="1"/>
  <c r="L115" i="17" s="1"/>
  <c r="M115" i="17" s="1"/>
  <c r="N115" i="17" s="1"/>
  <c r="G115" i="17"/>
  <c r="H51" i="17"/>
  <c r="I51" i="17" s="1"/>
  <c r="K51" i="17" s="1"/>
  <c r="L51" i="17" s="1"/>
  <c r="M51" i="17" s="1"/>
  <c r="N51" i="17" s="1"/>
  <c r="G51" i="17"/>
  <c r="G37" i="18"/>
  <c r="H37" i="18"/>
  <c r="I37" i="18" s="1"/>
  <c r="K37" i="18" s="1"/>
  <c r="L37" i="18" s="1"/>
  <c r="M37" i="18" s="1"/>
  <c r="N37" i="18" s="1"/>
  <c r="H59" i="18"/>
  <c r="I59" i="18" s="1"/>
  <c r="K59" i="18" s="1"/>
  <c r="L59" i="18" s="1"/>
  <c r="M59" i="18" s="1"/>
  <c r="N59" i="18" s="1"/>
  <c r="H73" i="17"/>
  <c r="I73" i="17" s="1"/>
  <c r="K73" i="17" s="1"/>
  <c r="L73" i="17" s="1"/>
  <c r="M73" i="17" s="1"/>
  <c r="N73" i="17" s="1"/>
  <c r="G73" i="17"/>
  <c r="G125" i="17"/>
  <c r="H125" i="17"/>
  <c r="I125" i="17" s="1"/>
  <c r="K125" i="17" s="1"/>
  <c r="L125" i="17" s="1"/>
  <c r="M125" i="17" s="1"/>
  <c r="N125" i="17" s="1"/>
  <c r="H83" i="17"/>
  <c r="I83" i="17" s="1"/>
  <c r="K83" i="17" s="1"/>
  <c r="L83" i="17" s="1"/>
  <c r="M83" i="17" s="1"/>
  <c r="N83" i="17" s="1"/>
  <c r="G51" i="18"/>
  <c r="H51" i="18"/>
  <c r="I51" i="18" s="1"/>
  <c r="K51" i="18" s="1"/>
  <c r="L51" i="18" s="1"/>
  <c r="M51" i="18" s="1"/>
  <c r="N51" i="18" s="1"/>
  <c r="I1515" i="9"/>
  <c r="F91" i="5"/>
  <c r="K91" i="5" s="1"/>
  <c r="F20" i="5"/>
  <c r="K20" i="5" s="1"/>
  <c r="I217" i="9"/>
  <c r="G85" i="5"/>
  <c r="H85" i="5"/>
  <c r="I85" i="5" s="1"/>
  <c r="L85" i="5" s="1"/>
  <c r="M85" i="5" s="1"/>
  <c r="N85" i="5" s="1"/>
  <c r="G75" i="5"/>
  <c r="H75" i="5"/>
  <c r="I75" i="5" s="1"/>
  <c r="L75" i="5" s="1"/>
  <c r="M75" i="5" s="1"/>
  <c r="N75" i="5" s="1"/>
  <c r="H87" i="5"/>
  <c r="I87" i="5" s="1"/>
  <c r="L87" i="5" s="1"/>
  <c r="M87" i="5" s="1"/>
  <c r="N87" i="5" s="1"/>
  <c r="G37" i="5"/>
  <c r="H37" i="5"/>
  <c r="I37" i="5" s="1"/>
  <c r="L37" i="5" s="1"/>
  <c r="M37" i="5" s="1"/>
  <c r="N37" i="5" s="1"/>
  <c r="F10" i="5"/>
  <c r="I41" i="9"/>
  <c r="G81" i="5"/>
  <c r="H81" i="5"/>
  <c r="I81" i="5" s="1"/>
  <c r="L81" i="5" s="1"/>
  <c r="M81" i="5" s="1"/>
  <c r="N81" i="5" s="1"/>
  <c r="G31" i="5"/>
  <c r="H31" i="5"/>
  <c r="I31" i="5" s="1"/>
  <c r="L31" i="5" s="1"/>
  <c r="M31" i="5" s="1"/>
  <c r="N31" i="5" s="1"/>
  <c r="H59" i="5"/>
  <c r="I59" i="5" s="1"/>
  <c r="L59" i="5" s="1"/>
  <c r="M59" i="5" s="1"/>
  <c r="N59" i="5" s="1"/>
  <c r="I586" i="9"/>
  <c r="F41" i="5"/>
  <c r="K41" i="5" s="1"/>
  <c r="G83" i="5"/>
  <c r="H83" i="5"/>
  <c r="I83" i="5" s="1"/>
  <c r="L83" i="5" s="1"/>
  <c r="M83" i="5" s="1"/>
  <c r="N83" i="5" s="1"/>
  <c r="G45" i="5"/>
  <c r="H45" i="5"/>
  <c r="I45" i="5" s="1"/>
  <c r="L45" i="5" s="1"/>
  <c r="M45" i="5" s="1"/>
  <c r="N45" i="5" s="1"/>
  <c r="G73" i="5"/>
  <c r="H73" i="5"/>
  <c r="I73" i="5" s="1"/>
  <c r="L73" i="5" s="1"/>
  <c r="M73" i="5" s="1"/>
  <c r="N73" i="5" s="1"/>
  <c r="G69" i="5"/>
  <c r="H69" i="5"/>
  <c r="I69" i="5" s="1"/>
  <c r="L69" i="5" s="1"/>
  <c r="M69" i="5" s="1"/>
  <c r="N69" i="5" s="1"/>
  <c r="G65" i="5"/>
  <c r="H65" i="5"/>
  <c r="I65" i="5" s="1"/>
  <c r="L65" i="5" s="1"/>
  <c r="M65" i="5" s="1"/>
  <c r="N65" i="5" s="1"/>
  <c r="H117" i="5"/>
  <c r="I117" i="5" s="1"/>
  <c r="L117" i="5" s="1"/>
  <c r="M117" i="5" s="1"/>
  <c r="N117" i="5" s="1"/>
  <c r="G71" i="5"/>
  <c r="H71" i="5"/>
  <c r="I71" i="5" s="1"/>
  <c r="L71" i="5" s="1"/>
  <c r="M71" i="5" s="1"/>
  <c r="N71" i="5" s="1"/>
  <c r="I697" i="9"/>
  <c r="F47" i="5"/>
  <c r="K47" i="5" s="1"/>
  <c r="G103" i="5"/>
  <c r="H103" i="5"/>
  <c r="I103" i="5" s="1"/>
  <c r="L103" i="5" s="1"/>
  <c r="M103" i="5" s="1"/>
  <c r="N103" i="5" s="1"/>
  <c r="G63" i="5"/>
  <c r="H63" i="5"/>
  <c r="I63" i="5" s="1"/>
  <c r="L63" i="5" s="1"/>
  <c r="M63" i="5" s="1"/>
  <c r="N63" i="5" s="1"/>
  <c r="G77" i="5"/>
  <c r="H77" i="5"/>
  <c r="I77" i="5" s="1"/>
  <c r="L77" i="5" s="1"/>
  <c r="M77" i="5" s="1"/>
  <c r="N77" i="5" s="1"/>
  <c r="G67" i="5"/>
  <c r="H67" i="5"/>
  <c r="I67" i="5" s="1"/>
  <c r="L67" i="5" s="1"/>
  <c r="M67" i="5" s="1"/>
  <c r="N67" i="5" s="1"/>
  <c r="I738" i="9"/>
  <c r="F49" i="5"/>
  <c r="K49" i="5" s="1"/>
  <c r="I50" i="6"/>
  <c r="J50" i="6" s="1"/>
  <c r="M50" i="6" s="1"/>
  <c r="H50" i="6"/>
  <c r="H57" i="5"/>
  <c r="I57" i="5" s="1"/>
  <c r="L57" i="5" s="1"/>
  <c r="M57" i="5" s="1"/>
  <c r="N57" i="5" s="1"/>
  <c r="G25" i="5"/>
  <c r="H25" i="5"/>
  <c r="I25" i="5" s="1"/>
  <c r="L25" i="5" s="1"/>
  <c r="M25" i="5" s="1"/>
  <c r="N25" i="5" s="1"/>
  <c r="H121" i="5"/>
  <c r="I121" i="5" s="1"/>
  <c r="L121" i="5" s="1"/>
  <c r="M121" i="5" s="1"/>
  <c r="N121" i="5" s="1"/>
  <c r="G121" i="5"/>
  <c r="I847" i="9"/>
  <c r="F55" i="5"/>
  <c r="K55" i="5" s="1"/>
  <c r="H100" i="5"/>
  <c r="I100" i="5" s="1"/>
  <c r="L100" i="5" s="1"/>
  <c r="M100" i="5" s="1"/>
  <c r="N100" i="5" s="1"/>
  <c r="G53" i="5"/>
  <c r="H53" i="5"/>
  <c r="I53" i="5" s="1"/>
  <c r="L53" i="5" s="1"/>
  <c r="M53" i="5" s="1"/>
  <c r="N53" i="5" s="1"/>
  <c r="I310" i="4"/>
  <c r="I311" i="4" s="1"/>
  <c r="I313" i="4" s="1"/>
  <c r="G24" i="7" s="1"/>
  <c r="G99" i="8"/>
  <c r="I99" i="8" s="1"/>
  <c r="J99" i="8" s="1"/>
  <c r="M99" i="8" s="1"/>
  <c r="N99" i="8" s="1"/>
  <c r="G98" i="7"/>
  <c r="H98" i="7" s="1"/>
  <c r="I1115" i="4"/>
  <c r="F144" i="7"/>
  <c r="F145" i="6"/>
  <c r="D145" i="6"/>
  <c r="D145" i="8"/>
  <c r="D144" i="7"/>
  <c r="D140" i="7"/>
  <c r="D141" i="8"/>
  <c r="D141" i="6"/>
  <c r="I1705" i="4"/>
  <c r="F141" i="6"/>
  <c r="I150" i="4"/>
  <c r="F140" i="7"/>
  <c r="F106" i="7"/>
  <c r="F107" i="6"/>
  <c r="F107" i="8"/>
  <c r="D107" i="6"/>
  <c r="H107" i="6" s="1"/>
  <c r="D106" i="7"/>
  <c r="D107" i="8"/>
  <c r="F10" i="8"/>
  <c r="F10" i="7"/>
  <c r="F10" i="6"/>
  <c r="D10" i="6"/>
  <c r="D10" i="8"/>
  <c r="D10" i="7"/>
  <c r="D31" i="7"/>
  <c r="D32" i="8"/>
  <c r="D34" i="6"/>
  <c r="F100" i="7"/>
  <c r="F101" i="8"/>
  <c r="F101" i="6"/>
  <c r="D101" i="6"/>
  <c r="D101" i="8"/>
  <c r="D100" i="7"/>
  <c r="F12" i="8"/>
  <c r="F12" i="7"/>
  <c r="F12" i="6"/>
  <c r="D12" i="7"/>
  <c r="D12" i="6"/>
  <c r="D12" i="8"/>
  <c r="F150" i="8"/>
  <c r="F149" i="7"/>
  <c r="F150" i="6"/>
  <c r="F20" i="6"/>
  <c r="F20" i="7"/>
  <c r="F20" i="8"/>
  <c r="F62" i="8"/>
  <c r="F62" i="7"/>
  <c r="F64" i="6"/>
  <c r="D62" i="8"/>
  <c r="D64" i="6"/>
  <c r="D62" i="7"/>
  <c r="F105" i="7"/>
  <c r="F106" i="6"/>
  <c r="F106" i="8"/>
  <c r="H106" i="8" s="1"/>
  <c r="D106" i="8"/>
  <c r="D105" i="7"/>
  <c r="D106" i="6"/>
  <c r="F14" i="8"/>
  <c r="H14" i="8" s="1"/>
  <c r="F14" i="6"/>
  <c r="F14" i="7"/>
  <c r="F16" i="7"/>
  <c r="F16" i="8"/>
  <c r="F16" i="6"/>
  <c r="D16" i="8"/>
  <c r="D16" i="7"/>
  <c r="D16" i="6"/>
  <c r="H430" i="4"/>
  <c r="F33" i="7"/>
  <c r="F34" i="8"/>
  <c r="F36" i="6"/>
  <c r="D34" i="8"/>
  <c r="D36" i="6"/>
  <c r="D33" i="7"/>
  <c r="D38" i="6"/>
  <c r="D35" i="7"/>
  <c r="D36" i="8"/>
  <c r="I1082" i="4"/>
  <c r="I1084" i="4" s="1"/>
  <c r="G90" i="6" s="1"/>
  <c r="I90" i="6" s="1"/>
  <c r="J90" i="6" s="1"/>
  <c r="F105" i="6"/>
  <c r="F104" i="7"/>
  <c r="F105" i="8"/>
  <c r="D105" i="6"/>
  <c r="D105" i="8"/>
  <c r="D104" i="7"/>
  <c r="D88" i="7"/>
  <c r="D89" i="6"/>
  <c r="D89" i="8"/>
  <c r="F55" i="8"/>
  <c r="F55" i="7"/>
  <c r="F57" i="6"/>
  <c r="D55" i="8"/>
  <c r="D57" i="6"/>
  <c r="D55" i="7"/>
  <c r="F46" i="8"/>
  <c r="F45" i="7"/>
  <c r="F48" i="6"/>
  <c r="D48" i="6"/>
  <c r="D46" i="8"/>
  <c r="D45" i="7"/>
  <c r="I1183" i="4"/>
  <c r="F103" i="8"/>
  <c r="F103" i="6"/>
  <c r="H103" i="6" s="1"/>
  <c r="F102" i="7"/>
  <c r="D102" i="7"/>
  <c r="D103" i="6"/>
  <c r="D103" i="8"/>
  <c r="D53" i="8"/>
  <c r="D53" i="7"/>
  <c r="D55" i="6"/>
  <c r="N57" i="6"/>
  <c r="M137" i="7"/>
  <c r="N137" i="7" s="1"/>
  <c r="O137" i="7" s="1"/>
  <c r="P137" i="7" s="1"/>
  <c r="Q137" i="7" s="1"/>
  <c r="F90" i="8"/>
  <c r="F89" i="7"/>
  <c r="F90" i="6"/>
  <c r="M138" i="6"/>
  <c r="N138" i="6" s="1"/>
  <c r="O138" i="6" s="1"/>
  <c r="P138" i="6" s="1"/>
  <c r="Q138" i="6" s="1"/>
  <c r="M115" i="7"/>
  <c r="N115" i="7" s="1"/>
  <c r="O115" i="7" s="1"/>
  <c r="P115" i="7" s="1"/>
  <c r="Q115" i="7" s="1"/>
  <c r="M116" i="6"/>
  <c r="N116" i="6" s="1"/>
  <c r="O116" i="6" s="1"/>
  <c r="P116" i="6" s="1"/>
  <c r="Q116" i="6" s="1"/>
  <c r="I1044" i="4"/>
  <c r="I1046" i="4" s="1"/>
  <c r="I1047" i="4" s="1"/>
  <c r="I969" i="4"/>
  <c r="I970" i="4" s="1"/>
  <c r="I972" i="4" s="1"/>
  <c r="I1322" i="4"/>
  <c r="I1323" i="4" s="1"/>
  <c r="I138" i="8"/>
  <c r="J138" i="8" s="1"/>
  <c r="M138" i="8" s="1"/>
  <c r="N138" i="8" s="1"/>
  <c r="I647" i="4"/>
  <c r="I648" i="4" s="1"/>
  <c r="I606" i="4"/>
  <c r="I608" i="4" s="1"/>
  <c r="I463" i="4"/>
  <c r="G138" i="7"/>
  <c r="H138" i="7" s="1"/>
  <c r="G149" i="7"/>
  <c r="I149" i="7" s="1"/>
  <c r="J149" i="7" s="1"/>
  <c r="G126" i="8"/>
  <c r="H126" i="8" s="1"/>
  <c r="G137" i="8"/>
  <c r="H137" i="8" s="1"/>
  <c r="I1983" i="4"/>
  <c r="G14" i="7"/>
  <c r="I117" i="4"/>
  <c r="G14" i="6"/>
  <c r="I14" i="6" s="1"/>
  <c r="J14" i="6" s="1"/>
  <c r="I79" i="4"/>
  <c r="I80" i="4" s="1"/>
  <c r="I82" i="4" s="1"/>
  <c r="G99" i="7"/>
  <c r="H99" i="7" s="1"/>
  <c r="I1860" i="4"/>
  <c r="G137" i="6"/>
  <c r="H137" i="6" s="1"/>
  <c r="G136" i="7"/>
  <c r="I136" i="7" s="1"/>
  <c r="J136" i="7" s="1"/>
  <c r="I242" i="4"/>
  <c r="I243" i="4" s="1"/>
  <c r="I245" i="4" s="1"/>
  <c r="G100" i="8"/>
  <c r="I100" i="8" s="1"/>
  <c r="J100" i="8" s="1"/>
  <c r="M100" i="8" s="1"/>
  <c r="N100" i="8" s="1"/>
  <c r="I1145" i="4"/>
  <c r="G100" i="6"/>
  <c r="I100" i="6" s="1"/>
  <c r="J100" i="6" s="1"/>
  <c r="I2133" i="4"/>
  <c r="I2134" i="4" s="1"/>
  <c r="I2135" i="4" s="1"/>
  <c r="I2137" i="4" s="1"/>
  <c r="I902" i="4"/>
  <c r="I904" i="4" s="1"/>
  <c r="I906" i="4" s="1"/>
  <c r="G107" i="7"/>
  <c r="H107" i="7" s="1"/>
  <c r="G143" i="8"/>
  <c r="H143" i="8" s="1"/>
  <c r="I14" i="8"/>
  <c r="J14" i="8" s="1"/>
  <c r="M14" i="8" s="1"/>
  <c r="N14" i="8" s="1"/>
  <c r="G108" i="8"/>
  <c r="H108" i="8" s="1"/>
  <c r="I1437" i="4"/>
  <c r="I388" i="4"/>
  <c r="I390" i="4" s="1"/>
  <c r="G31" i="7" s="1"/>
  <c r="I31" i="7" s="1"/>
  <c r="J31" i="7" s="1"/>
  <c r="G142" i="8"/>
  <c r="H142" i="8" s="1"/>
  <c r="H116" i="8"/>
  <c r="I2015" i="4"/>
  <c r="G126" i="6"/>
  <c r="H126" i="6" s="1"/>
  <c r="G125" i="7"/>
  <c r="G142" i="7"/>
  <c r="H142" i="7" s="1"/>
  <c r="G141" i="7"/>
  <c r="I141" i="7" s="1"/>
  <c r="J141" i="7" s="1"/>
  <c r="G143" i="6"/>
  <c r="I143" i="6" s="1"/>
  <c r="J143" i="6" s="1"/>
  <c r="I1219" i="4"/>
  <c r="G102" i="6"/>
  <c r="H102" i="6" s="1"/>
  <c r="G101" i="7"/>
  <c r="H101" i="7" s="1"/>
  <c r="I281" i="4"/>
  <c r="I283" i="4" s="1"/>
  <c r="I1733" i="4"/>
  <c r="I35" i="4"/>
  <c r="G110" i="8"/>
  <c r="I110" i="8" s="1"/>
  <c r="J110" i="8" s="1"/>
  <c r="M110" i="8" s="1"/>
  <c r="N110" i="8" s="1"/>
  <c r="G139" i="6"/>
  <c r="H139" i="6" s="1"/>
  <c r="I1920" i="4"/>
  <c r="G139" i="8"/>
  <c r="H139" i="8" s="1"/>
  <c r="G19" i="7"/>
  <c r="I19" i="7" s="1"/>
  <c r="J19" i="7" s="1"/>
  <c r="G19" i="8"/>
  <c r="I19" i="8" s="1"/>
  <c r="J19" i="8" s="1"/>
  <c r="M19" i="8" s="1"/>
  <c r="N19" i="8" s="1"/>
  <c r="I186" i="4"/>
  <c r="H116" i="6"/>
  <c r="G109" i="7"/>
  <c r="I109" i="7" s="1"/>
  <c r="J109" i="7" s="1"/>
  <c r="G110" i="6"/>
  <c r="I110" i="6" s="1"/>
  <c r="J110" i="6" s="1"/>
  <c r="G34" i="8"/>
  <c r="G139" i="7"/>
  <c r="I139" i="7" s="1"/>
  <c r="J139" i="7" s="1"/>
  <c r="G106" i="6"/>
  <c r="I106" i="6" s="1"/>
  <c r="J106" i="6" s="1"/>
  <c r="G40" i="6"/>
  <c r="H40" i="6" s="1"/>
  <c r="I573" i="4"/>
  <c r="G106" i="7"/>
  <c r="I106" i="7" s="1"/>
  <c r="J106" i="7" s="1"/>
  <c r="G38" i="8"/>
  <c r="H38" i="8" s="1"/>
  <c r="I1401" i="4"/>
  <c r="G107" i="8"/>
  <c r="G114" i="6"/>
  <c r="H114" i="6" s="1"/>
  <c r="G104" i="8"/>
  <c r="H104" i="8" s="1"/>
  <c r="G100" i="7"/>
  <c r="G101" i="8"/>
  <c r="I1364" i="4"/>
  <c r="I1951" i="4"/>
  <c r="G105" i="7"/>
  <c r="H105" i="7" s="1"/>
  <c r="G101" i="6"/>
  <c r="I101" i="6" s="1"/>
  <c r="J101" i="6" s="1"/>
  <c r="G140" i="6"/>
  <c r="H140" i="6" s="1"/>
  <c r="H115" i="7"/>
  <c r="I430" i="4"/>
  <c r="G113" i="7"/>
  <c r="H113" i="7" s="1"/>
  <c r="G102" i="7"/>
  <c r="I102" i="7" s="1"/>
  <c r="J102" i="7" s="1"/>
  <c r="G104" i="6"/>
  <c r="I104" i="6" s="1"/>
  <c r="J104" i="6" s="1"/>
  <c r="I1290" i="4"/>
  <c r="G103" i="8"/>
  <c r="I103" i="8" s="1"/>
  <c r="J103" i="8" s="1"/>
  <c r="M103" i="8" s="1"/>
  <c r="N103" i="8" s="1"/>
  <c r="I1256" i="4"/>
  <c r="G36" i="6"/>
  <c r="I36" i="6" s="1"/>
  <c r="J36" i="6" s="1"/>
  <c r="G59" i="8"/>
  <c r="G59" i="7"/>
  <c r="G61" i="6"/>
  <c r="G57" i="8"/>
  <c r="G57" i="7"/>
  <c r="I2067" i="4"/>
  <c r="H138" i="6"/>
  <c r="G150" i="6"/>
  <c r="I150" i="6" s="1"/>
  <c r="J150" i="6" s="1"/>
  <c r="H137" i="7"/>
  <c r="G150" i="8"/>
  <c r="I2274" i="4"/>
  <c r="I1008" i="4"/>
  <c r="H134" i="8"/>
  <c r="I134" i="8"/>
  <c r="J134" i="8" s="1"/>
  <c r="M134" i="8" s="1"/>
  <c r="N134" i="8" s="1"/>
  <c r="G53" i="8"/>
  <c r="G55" i="6"/>
  <c r="G53" i="7"/>
  <c r="I107" i="6"/>
  <c r="J107" i="6" s="1"/>
  <c r="H134" i="6"/>
  <c r="I134" i="6"/>
  <c r="J134" i="6" s="1"/>
  <c r="G122" i="7"/>
  <c r="G123" i="8"/>
  <c r="G123" i="6"/>
  <c r="G59" i="6"/>
  <c r="H102" i="8"/>
  <c r="I102" i="8"/>
  <c r="J102" i="8" s="1"/>
  <c r="M102" i="8" s="1"/>
  <c r="N102" i="8" s="1"/>
  <c r="I103" i="6"/>
  <c r="J103" i="6" s="1"/>
  <c r="H114" i="8"/>
  <c r="I114" i="8"/>
  <c r="J114" i="8" s="1"/>
  <c r="I106" i="8"/>
  <c r="J106" i="8" s="1"/>
  <c r="M106" i="8" s="1"/>
  <c r="N106" i="8" s="1"/>
  <c r="G141" i="6"/>
  <c r="G141" i="8"/>
  <c r="G140" i="7"/>
  <c r="H33" i="7"/>
  <c r="I33" i="7"/>
  <c r="J33" i="7" s="1"/>
  <c r="I140" i="8"/>
  <c r="J140" i="8" s="1"/>
  <c r="M140" i="8" s="1"/>
  <c r="N140" i="8" s="1"/>
  <c r="H140" i="8"/>
  <c r="H99" i="6"/>
  <c r="I99" i="6"/>
  <c r="J99" i="6" s="1"/>
  <c r="G147" i="8"/>
  <c r="G147" i="6"/>
  <c r="G146" i="7"/>
  <c r="G120" i="6"/>
  <c r="G120" i="8"/>
  <c r="G119" i="7"/>
  <c r="G16" i="7"/>
  <c r="G16" i="6"/>
  <c r="G16" i="8"/>
  <c r="I133" i="7"/>
  <c r="J133" i="7" s="1"/>
  <c r="H133" i="7"/>
  <c r="H37" i="7"/>
  <c r="I37" i="7"/>
  <c r="J37" i="7" s="1"/>
  <c r="H108" i="6"/>
  <c r="I108" i="6"/>
  <c r="J108" i="6" s="1"/>
  <c r="I142" i="6"/>
  <c r="J142" i="6" s="1"/>
  <c r="H142" i="6"/>
  <c r="H103" i="7"/>
  <c r="I103" i="7"/>
  <c r="J103" i="7" s="1"/>
  <c r="H19" i="6"/>
  <c r="I19" i="6"/>
  <c r="J19" i="6" s="1"/>
  <c r="I771" i="4"/>
  <c r="I773" i="4" s="1"/>
  <c r="I1640" i="4"/>
  <c r="I2210" i="4"/>
  <c r="I732" i="4"/>
  <c r="I213" i="4"/>
  <c r="I865" i="4"/>
  <c r="I1576" i="4"/>
  <c r="G103" i="17" l="1"/>
  <c r="G29" i="5"/>
  <c r="H100" i="18"/>
  <c r="I100" i="18" s="1"/>
  <c r="K100" i="18" s="1"/>
  <c r="L100" i="18" s="1"/>
  <c r="M100" i="18" s="1"/>
  <c r="N100" i="18" s="1"/>
  <c r="G100" i="5"/>
  <c r="H33" i="5"/>
  <c r="I33" i="5" s="1"/>
  <c r="L33" i="5" s="1"/>
  <c r="M33" i="5" s="1"/>
  <c r="N33" i="5" s="1"/>
  <c r="G129" i="17"/>
  <c r="G115" i="5"/>
  <c r="G31" i="17"/>
  <c r="H106" i="5"/>
  <c r="I106" i="5" s="1"/>
  <c r="L106" i="5" s="1"/>
  <c r="M106" i="5" s="1"/>
  <c r="N106" i="5" s="1"/>
  <c r="G33" i="5"/>
  <c r="G108" i="18"/>
  <c r="G31" i="18"/>
  <c r="G129" i="5"/>
  <c r="H129" i="5"/>
  <c r="I129" i="5" s="1"/>
  <c r="L129" i="5" s="1"/>
  <c r="M129" i="5" s="1"/>
  <c r="N129" i="5" s="1"/>
  <c r="H117" i="18"/>
  <c r="I117" i="18" s="1"/>
  <c r="K117" i="18" s="1"/>
  <c r="L117" i="18" s="1"/>
  <c r="M117" i="18" s="1"/>
  <c r="N117" i="18" s="1"/>
  <c r="H119" i="17"/>
  <c r="I119" i="17" s="1"/>
  <c r="K119" i="17" s="1"/>
  <c r="L119" i="17" s="1"/>
  <c r="M119" i="17" s="1"/>
  <c r="N119" i="17" s="1"/>
  <c r="G108" i="17"/>
  <c r="G125" i="5"/>
  <c r="H125" i="5"/>
  <c r="I125" i="5" s="1"/>
  <c r="L125" i="5" s="1"/>
  <c r="M125" i="5" s="1"/>
  <c r="N125" i="5" s="1"/>
  <c r="G43" i="18"/>
  <c r="H103" i="18"/>
  <c r="I103" i="18" s="1"/>
  <c r="K103" i="18" s="1"/>
  <c r="L103" i="18" s="1"/>
  <c r="M103" i="18" s="1"/>
  <c r="N103" i="18" s="1"/>
  <c r="H108" i="5"/>
  <c r="I108" i="5" s="1"/>
  <c r="L108" i="5" s="1"/>
  <c r="M108" i="5" s="1"/>
  <c r="N108" i="5" s="1"/>
  <c r="G43" i="17"/>
  <c r="H127" i="18"/>
  <c r="I127" i="18" s="1"/>
  <c r="K127" i="18" s="1"/>
  <c r="L127" i="18" s="1"/>
  <c r="M127" i="18" s="1"/>
  <c r="N127" i="18" s="1"/>
  <c r="G119" i="18"/>
  <c r="F138" i="18"/>
  <c r="H138" i="18" s="1"/>
  <c r="I138" i="18" s="1"/>
  <c r="K138" i="18" s="1"/>
  <c r="L138" i="18" s="1"/>
  <c r="M138" i="18" s="1"/>
  <c r="N138" i="18" s="1"/>
  <c r="H43" i="5"/>
  <c r="I43" i="5" s="1"/>
  <c r="L43" i="5" s="1"/>
  <c r="M43" i="5" s="1"/>
  <c r="N43" i="5" s="1"/>
  <c r="H29" i="5"/>
  <c r="I29" i="5" s="1"/>
  <c r="L29" i="5" s="1"/>
  <c r="M29" i="5" s="1"/>
  <c r="N29" i="5" s="1"/>
  <c r="F138" i="17"/>
  <c r="G43" i="5"/>
  <c r="H138" i="19"/>
  <c r="I138" i="19" s="1"/>
  <c r="K138" i="19" s="1"/>
  <c r="L138" i="19" s="1"/>
  <c r="M138" i="19" s="1"/>
  <c r="N138" i="19" s="1"/>
  <c r="F138" i="5"/>
  <c r="K138" i="5" s="1"/>
  <c r="G121" i="18"/>
  <c r="G108" i="5"/>
  <c r="I30" i="14"/>
  <c r="G119" i="5"/>
  <c r="K119" i="5"/>
  <c r="L119" i="5" s="1"/>
  <c r="M119" i="5" s="1"/>
  <c r="N119" i="5" s="1"/>
  <c r="G16" i="17"/>
  <c r="H140" i="5"/>
  <c r="I140" i="5" s="1"/>
  <c r="L140" i="5" s="1"/>
  <c r="M140" i="5" s="1"/>
  <c r="N140" i="5" s="1"/>
  <c r="H129" i="18"/>
  <c r="I129" i="18" s="1"/>
  <c r="K129" i="18" s="1"/>
  <c r="L129" i="18" s="1"/>
  <c r="M129" i="18" s="1"/>
  <c r="N129" i="18" s="1"/>
  <c r="G140" i="5"/>
  <c r="G24" i="18"/>
  <c r="G12" i="18"/>
  <c r="H115" i="5"/>
  <c r="I115" i="5" s="1"/>
  <c r="L115" i="5" s="1"/>
  <c r="M115" i="5" s="1"/>
  <c r="N115" i="5" s="1"/>
  <c r="H127" i="5"/>
  <c r="I127" i="5" s="1"/>
  <c r="L127" i="5" s="1"/>
  <c r="M127" i="5" s="1"/>
  <c r="N127" i="5" s="1"/>
  <c r="G106" i="18"/>
  <c r="G127" i="5"/>
  <c r="G106" i="17"/>
  <c r="H923" i="9"/>
  <c r="D59" i="18"/>
  <c r="E59" i="18" s="1"/>
  <c r="G59" i="18" s="1"/>
  <c r="D59" i="5"/>
  <c r="E59" i="5" s="1"/>
  <c r="G59" i="5" s="1"/>
  <c r="D59" i="17"/>
  <c r="E59" i="17" s="1"/>
  <c r="G59" i="17" s="1"/>
  <c r="D59" i="19"/>
  <c r="E59" i="19" s="1"/>
  <c r="G59" i="19" s="1"/>
  <c r="I923" i="9"/>
  <c r="H117" i="17"/>
  <c r="I117" i="17" s="1"/>
  <c r="K117" i="17" s="1"/>
  <c r="L117" i="17" s="1"/>
  <c r="M117" i="17" s="1"/>
  <c r="N117" i="17" s="1"/>
  <c r="G33" i="17"/>
  <c r="H29" i="18"/>
  <c r="I29" i="18" s="1"/>
  <c r="K29" i="18" s="1"/>
  <c r="L29" i="18" s="1"/>
  <c r="M29" i="18" s="1"/>
  <c r="N29" i="18" s="1"/>
  <c r="G24" i="17"/>
  <c r="H123" i="5"/>
  <c r="I123" i="5" s="1"/>
  <c r="L123" i="5" s="1"/>
  <c r="M123" i="5" s="1"/>
  <c r="N123" i="5" s="1"/>
  <c r="H140" i="17"/>
  <c r="I140" i="17" s="1"/>
  <c r="K140" i="17" s="1"/>
  <c r="L140" i="17" s="1"/>
  <c r="M140" i="17" s="1"/>
  <c r="N140" i="17" s="1"/>
  <c r="G123" i="5"/>
  <c r="H123" i="17"/>
  <c r="I123" i="17" s="1"/>
  <c r="K123" i="17" s="1"/>
  <c r="L123" i="17" s="1"/>
  <c r="M123" i="17" s="1"/>
  <c r="N123" i="17" s="1"/>
  <c r="G115" i="18"/>
  <c r="H127" i="17"/>
  <c r="I127" i="17" s="1"/>
  <c r="K127" i="17" s="1"/>
  <c r="L127" i="17" s="1"/>
  <c r="M127" i="17" s="1"/>
  <c r="N127" i="17" s="1"/>
  <c r="G117" i="5"/>
  <c r="G16" i="18"/>
  <c r="H123" i="18"/>
  <c r="I123" i="18" s="1"/>
  <c r="K123" i="18" s="1"/>
  <c r="L123" i="18" s="1"/>
  <c r="M123" i="18" s="1"/>
  <c r="N123" i="18" s="1"/>
  <c r="H19" i="17"/>
  <c r="I19" i="17" s="1"/>
  <c r="K19" i="17" s="1"/>
  <c r="L19" i="17" s="1"/>
  <c r="M19" i="17" s="1"/>
  <c r="N19" i="17" s="1"/>
  <c r="G100" i="17"/>
  <c r="G29" i="17"/>
  <c r="H140" i="18"/>
  <c r="I140" i="18" s="1"/>
  <c r="K140" i="18" s="1"/>
  <c r="L140" i="18" s="1"/>
  <c r="M140" i="18" s="1"/>
  <c r="N140" i="18" s="1"/>
  <c r="G123" i="19"/>
  <c r="H123" i="19"/>
  <c r="I123" i="19" s="1"/>
  <c r="K123" i="19" s="1"/>
  <c r="L123" i="19" s="1"/>
  <c r="M123" i="19" s="1"/>
  <c r="N123" i="19" s="1"/>
  <c r="H19" i="19"/>
  <c r="I19" i="19" s="1"/>
  <c r="K19" i="19" s="1"/>
  <c r="L19" i="19" s="1"/>
  <c r="M19" i="19" s="1"/>
  <c r="N19" i="19" s="1"/>
  <c r="G19" i="19"/>
  <c r="H12" i="17"/>
  <c r="I12" i="17" s="1"/>
  <c r="K12" i="17" s="1"/>
  <c r="L12" i="17" s="1"/>
  <c r="M12" i="17" s="1"/>
  <c r="N12" i="17" s="1"/>
  <c r="G125" i="19"/>
  <c r="H125" i="19"/>
  <c r="I125" i="19" s="1"/>
  <c r="K125" i="19" s="1"/>
  <c r="L125" i="19" s="1"/>
  <c r="M125" i="19" s="1"/>
  <c r="N125" i="19" s="1"/>
  <c r="H121" i="17"/>
  <c r="I121" i="17" s="1"/>
  <c r="K121" i="17" s="1"/>
  <c r="L121" i="17" s="1"/>
  <c r="M121" i="17" s="1"/>
  <c r="N121" i="17" s="1"/>
  <c r="H33" i="19"/>
  <c r="I33" i="19" s="1"/>
  <c r="K33" i="19" s="1"/>
  <c r="L33" i="19" s="1"/>
  <c r="M33" i="19" s="1"/>
  <c r="N33" i="19" s="1"/>
  <c r="G33" i="19"/>
  <c r="H106" i="19"/>
  <c r="I106" i="19" s="1"/>
  <c r="K106" i="19" s="1"/>
  <c r="L106" i="19" s="1"/>
  <c r="M106" i="19" s="1"/>
  <c r="N106" i="19" s="1"/>
  <c r="G106" i="19"/>
  <c r="H14" i="19"/>
  <c r="I14" i="19" s="1"/>
  <c r="K14" i="19" s="1"/>
  <c r="L14" i="19" s="1"/>
  <c r="M14" i="19" s="1"/>
  <c r="N14" i="19" s="1"/>
  <c r="G14" i="19"/>
  <c r="H19" i="5"/>
  <c r="I19" i="5" s="1"/>
  <c r="L19" i="5" s="1"/>
  <c r="M19" i="5" s="1"/>
  <c r="N19" i="5" s="1"/>
  <c r="K10" i="5"/>
  <c r="L10" i="5" s="1"/>
  <c r="M10" i="5" s="1"/>
  <c r="H10" i="5"/>
  <c r="L35" i="5"/>
  <c r="M35" i="5" s="1"/>
  <c r="N35" i="5" s="1"/>
  <c r="L145" i="5"/>
  <c r="M145" i="5" s="1"/>
  <c r="N145" i="5" s="1"/>
  <c r="H79" i="5"/>
  <c r="I79" i="5" s="1"/>
  <c r="K79" i="5"/>
  <c r="L61" i="5"/>
  <c r="M61" i="5" s="1"/>
  <c r="N61" i="5" s="1"/>
  <c r="G106" i="5"/>
  <c r="G104" i="5"/>
  <c r="H104" i="5"/>
  <c r="I104" i="5" s="1"/>
  <c r="L104" i="5" s="1"/>
  <c r="M104" i="5" s="1"/>
  <c r="N104" i="5" s="1"/>
  <c r="H125" i="18"/>
  <c r="I125" i="18" s="1"/>
  <c r="K125" i="18" s="1"/>
  <c r="L125" i="18" s="1"/>
  <c r="M125" i="18" s="1"/>
  <c r="N125" i="18" s="1"/>
  <c r="H104" i="17"/>
  <c r="I104" i="17" s="1"/>
  <c r="K104" i="17" s="1"/>
  <c r="L104" i="17" s="1"/>
  <c r="M104" i="17" s="1"/>
  <c r="N104" i="17" s="1"/>
  <c r="G104" i="17"/>
  <c r="G104" i="18"/>
  <c r="H104" i="18"/>
  <c r="I104" i="18" s="1"/>
  <c r="K104" i="18" s="1"/>
  <c r="L104" i="18" s="1"/>
  <c r="M104" i="18" s="1"/>
  <c r="N104" i="18" s="1"/>
  <c r="G79" i="5"/>
  <c r="H20" i="17"/>
  <c r="I20" i="17" s="1"/>
  <c r="K20" i="17" s="1"/>
  <c r="L20" i="17" s="1"/>
  <c r="M20" i="17" s="1"/>
  <c r="N20" i="17" s="1"/>
  <c r="G20" i="17"/>
  <c r="H10" i="18"/>
  <c r="I10" i="18" s="1"/>
  <c r="K10" i="18" s="1"/>
  <c r="L10" i="18" s="1"/>
  <c r="M10" i="18" s="1"/>
  <c r="N10" i="18" s="1"/>
  <c r="G10" i="18"/>
  <c r="H91" i="18"/>
  <c r="I91" i="18" s="1"/>
  <c r="K91" i="18" s="1"/>
  <c r="L91" i="18" s="1"/>
  <c r="M91" i="18" s="1"/>
  <c r="N91" i="18" s="1"/>
  <c r="G91" i="18"/>
  <c r="H55" i="17"/>
  <c r="I55" i="17" s="1"/>
  <c r="K55" i="17" s="1"/>
  <c r="L55" i="17" s="1"/>
  <c r="M55" i="17" s="1"/>
  <c r="N55" i="17" s="1"/>
  <c r="G55" i="17"/>
  <c r="H20" i="18"/>
  <c r="I20" i="18" s="1"/>
  <c r="K20" i="18" s="1"/>
  <c r="L20" i="18" s="1"/>
  <c r="M20" i="18" s="1"/>
  <c r="N20" i="18" s="1"/>
  <c r="G20" i="18"/>
  <c r="H55" i="18"/>
  <c r="I55" i="18" s="1"/>
  <c r="K55" i="18" s="1"/>
  <c r="L55" i="18" s="1"/>
  <c r="M55" i="18" s="1"/>
  <c r="N55" i="18" s="1"/>
  <c r="G55" i="18"/>
  <c r="H47" i="17"/>
  <c r="I47" i="17" s="1"/>
  <c r="K47" i="17" s="1"/>
  <c r="L47" i="17" s="1"/>
  <c r="M47" i="17" s="1"/>
  <c r="N47" i="17" s="1"/>
  <c r="G47" i="17"/>
  <c r="H79" i="18"/>
  <c r="I79" i="18" s="1"/>
  <c r="K79" i="18" s="1"/>
  <c r="L79" i="18" s="1"/>
  <c r="M79" i="18" s="1"/>
  <c r="N79" i="18" s="1"/>
  <c r="G79" i="18"/>
  <c r="G47" i="18"/>
  <c r="H47" i="18"/>
  <c r="I47" i="18" s="1"/>
  <c r="K47" i="18" s="1"/>
  <c r="L47" i="18" s="1"/>
  <c r="M47" i="18" s="1"/>
  <c r="N47" i="18" s="1"/>
  <c r="H91" i="17"/>
  <c r="I91" i="17" s="1"/>
  <c r="K91" i="17" s="1"/>
  <c r="L91" i="17" s="1"/>
  <c r="M91" i="17" s="1"/>
  <c r="N91" i="17" s="1"/>
  <c r="G91" i="17"/>
  <c r="H79" i="17"/>
  <c r="I79" i="17" s="1"/>
  <c r="K79" i="17" s="1"/>
  <c r="L79" i="17" s="1"/>
  <c r="M79" i="17" s="1"/>
  <c r="N79" i="17" s="1"/>
  <c r="G79" i="17"/>
  <c r="G138" i="17"/>
  <c r="H138" i="17"/>
  <c r="I138" i="17" s="1"/>
  <c r="K138" i="17" s="1"/>
  <c r="L138" i="17" s="1"/>
  <c r="M138" i="17" s="1"/>
  <c r="N138" i="17" s="1"/>
  <c r="H41" i="17"/>
  <c r="I41" i="17" s="1"/>
  <c r="K41" i="17" s="1"/>
  <c r="L41" i="17" s="1"/>
  <c r="M41" i="17" s="1"/>
  <c r="N41" i="17" s="1"/>
  <c r="G41" i="17"/>
  <c r="H41" i="18"/>
  <c r="I41" i="18" s="1"/>
  <c r="K41" i="18" s="1"/>
  <c r="L41" i="18" s="1"/>
  <c r="M41" i="18" s="1"/>
  <c r="N41" i="18" s="1"/>
  <c r="G41" i="18"/>
  <c r="H49" i="17"/>
  <c r="I49" i="17" s="1"/>
  <c r="K49" i="17" s="1"/>
  <c r="L49" i="17" s="1"/>
  <c r="M49" i="17" s="1"/>
  <c r="N49" i="17" s="1"/>
  <c r="G49" i="17"/>
  <c r="H10" i="17"/>
  <c r="I10" i="17" s="1"/>
  <c r="K10" i="17" s="1"/>
  <c r="L10" i="17" s="1"/>
  <c r="M10" i="17" s="1"/>
  <c r="N10" i="17" s="1"/>
  <c r="G10" i="17"/>
  <c r="G49" i="18"/>
  <c r="H49" i="18"/>
  <c r="I49" i="18" s="1"/>
  <c r="K49" i="18" s="1"/>
  <c r="L49" i="18" s="1"/>
  <c r="M49" i="18" s="1"/>
  <c r="N49" i="18" s="1"/>
  <c r="N50" i="6"/>
  <c r="O50" i="6"/>
  <c r="P50" i="6" s="1"/>
  <c r="Q50" i="6" s="1"/>
  <c r="G55" i="5"/>
  <c r="H55" i="5"/>
  <c r="I55" i="5" s="1"/>
  <c r="L55" i="5" s="1"/>
  <c r="M55" i="5" s="1"/>
  <c r="N55" i="5" s="1"/>
  <c r="G41" i="5"/>
  <c r="H41" i="5"/>
  <c r="I41" i="5" s="1"/>
  <c r="L41" i="5" s="1"/>
  <c r="M41" i="5" s="1"/>
  <c r="N41" i="5" s="1"/>
  <c r="G49" i="5"/>
  <c r="H49" i="5"/>
  <c r="I49" i="5" s="1"/>
  <c r="L49" i="5" s="1"/>
  <c r="M49" i="5" s="1"/>
  <c r="N49" i="5" s="1"/>
  <c r="G47" i="5"/>
  <c r="H47" i="5"/>
  <c r="I47" i="5" s="1"/>
  <c r="L47" i="5" s="1"/>
  <c r="M47" i="5" s="1"/>
  <c r="N47" i="5" s="1"/>
  <c r="G91" i="5"/>
  <c r="H91" i="5"/>
  <c r="I91" i="5" s="1"/>
  <c r="L91" i="5" s="1"/>
  <c r="M91" i="5" s="1"/>
  <c r="N91" i="5" s="1"/>
  <c r="H24" i="7"/>
  <c r="I24" i="7"/>
  <c r="J24" i="7" s="1"/>
  <c r="M24" i="7" s="1"/>
  <c r="N24" i="7" s="1"/>
  <c r="O24" i="7" s="1"/>
  <c r="P24" i="7" s="1"/>
  <c r="Q24" i="7" s="1"/>
  <c r="I315" i="4"/>
  <c r="H99" i="8"/>
  <c r="I98" i="7"/>
  <c r="J98" i="7" s="1"/>
  <c r="M98" i="7" s="1"/>
  <c r="N98" i="7" s="1"/>
  <c r="O98" i="7" s="1"/>
  <c r="P98" i="7" s="1"/>
  <c r="Q98" i="7" s="1"/>
  <c r="H107" i="8"/>
  <c r="H14" i="7"/>
  <c r="H34" i="8"/>
  <c r="G89" i="7"/>
  <c r="I89" i="7" s="1"/>
  <c r="J89" i="7" s="1"/>
  <c r="M89" i="7" s="1"/>
  <c r="N89" i="7" s="1"/>
  <c r="O89" i="7" s="1"/>
  <c r="P89" i="7" s="1"/>
  <c r="Q89" i="7" s="1"/>
  <c r="H90" i="6"/>
  <c r="H150" i="8"/>
  <c r="G89" i="6"/>
  <c r="I89" i="6" s="1"/>
  <c r="J89" i="6" s="1"/>
  <c r="I1085" i="4"/>
  <c r="G88" i="7"/>
  <c r="H88" i="7" s="1"/>
  <c r="H101" i="8"/>
  <c r="G90" i="8"/>
  <c r="I90" i="8" s="1"/>
  <c r="J90" i="8" s="1"/>
  <c r="M90" i="8" s="1"/>
  <c r="N90" i="8" s="1"/>
  <c r="F108" i="7"/>
  <c r="F109" i="8"/>
  <c r="F109" i="6"/>
  <c r="D108" i="7"/>
  <c r="D109" i="8"/>
  <c r="D109" i="6"/>
  <c r="H100" i="7"/>
  <c r="M108" i="6"/>
  <c r="N108" i="6" s="1"/>
  <c r="O108" i="6" s="1"/>
  <c r="P108" i="6" s="1"/>
  <c r="Q108" i="6" s="1"/>
  <c r="M106" i="6"/>
  <c r="N106" i="6" s="1"/>
  <c r="O106" i="6" s="1"/>
  <c r="P106" i="6" s="1"/>
  <c r="Q106" i="6" s="1"/>
  <c r="M36" i="6"/>
  <c r="O36" i="6" s="1"/>
  <c r="I123" i="6"/>
  <c r="J123" i="6" s="1"/>
  <c r="M123" i="6" s="1"/>
  <c r="N123" i="6" s="1"/>
  <c r="O123" i="6" s="1"/>
  <c r="P123" i="6" s="1"/>
  <c r="Q123" i="6" s="1"/>
  <c r="M139" i="7"/>
  <c r="N139" i="7" s="1"/>
  <c r="O139" i="7" s="1"/>
  <c r="P139" i="7" s="1"/>
  <c r="Q139" i="7" s="1"/>
  <c r="M14" i="6"/>
  <c r="O14" i="6" s="1"/>
  <c r="P14" i="6" s="1"/>
  <c r="Q14" i="6" s="1"/>
  <c r="M107" i="6"/>
  <c r="N107" i="6" s="1"/>
  <c r="O107" i="6" s="1"/>
  <c r="P107" i="6" s="1"/>
  <c r="Q107" i="6" s="1"/>
  <c r="M100" i="6"/>
  <c r="N100" i="6" s="1"/>
  <c r="O100" i="6" s="1"/>
  <c r="P100" i="6" s="1"/>
  <c r="Q100" i="6" s="1"/>
  <c r="M33" i="7"/>
  <c r="N33" i="7" s="1"/>
  <c r="O33" i="7" s="1"/>
  <c r="P33" i="7" s="1"/>
  <c r="Q33" i="7" s="1"/>
  <c r="G89" i="8"/>
  <c r="I89" i="8" s="1"/>
  <c r="J89" i="8" s="1"/>
  <c r="M89" i="8" s="1"/>
  <c r="N89" i="8" s="1"/>
  <c r="M19" i="6"/>
  <c r="O19" i="6" s="1"/>
  <c r="P19" i="6" s="1"/>
  <c r="Q19" i="6" s="1"/>
  <c r="M37" i="7"/>
  <c r="N37" i="7" s="1"/>
  <c r="O37" i="7" s="1"/>
  <c r="P37" i="7" s="1"/>
  <c r="Q37" i="7" s="1"/>
  <c r="M150" i="6"/>
  <c r="N150" i="6" s="1"/>
  <c r="O150" i="6" s="1"/>
  <c r="P150" i="6" s="1"/>
  <c r="Q150" i="6" s="1"/>
  <c r="M106" i="7"/>
  <c r="N106" i="7" s="1"/>
  <c r="O106" i="7" s="1"/>
  <c r="P106" i="7" s="1"/>
  <c r="Q106" i="7" s="1"/>
  <c r="M143" i="6"/>
  <c r="N143" i="6" s="1"/>
  <c r="O143" i="6" s="1"/>
  <c r="P143" i="6" s="1"/>
  <c r="Q143" i="6" s="1"/>
  <c r="M141" i="7"/>
  <c r="N141" i="7" s="1"/>
  <c r="O141" i="7" s="1"/>
  <c r="P141" i="7" s="1"/>
  <c r="Q141" i="7" s="1"/>
  <c r="M136" i="7"/>
  <c r="N136" i="7" s="1"/>
  <c r="O136" i="7" s="1"/>
  <c r="P136" i="7" s="1"/>
  <c r="Q136" i="7" s="1"/>
  <c r="M142" i="6"/>
  <c r="N142" i="6" s="1"/>
  <c r="O142" i="6" s="1"/>
  <c r="P142" i="6" s="1"/>
  <c r="Q142" i="6" s="1"/>
  <c r="M99" i="6"/>
  <c r="N99" i="6" s="1"/>
  <c r="O99" i="6" s="1"/>
  <c r="P99" i="6" s="1"/>
  <c r="Q99" i="6" s="1"/>
  <c r="M103" i="7"/>
  <c r="N103" i="7" s="1"/>
  <c r="O103" i="7" s="1"/>
  <c r="P103" i="7" s="1"/>
  <c r="Q103" i="7" s="1"/>
  <c r="M134" i="6"/>
  <c r="N134" i="6" s="1"/>
  <c r="O134" i="6" s="1"/>
  <c r="P134" i="6" s="1"/>
  <c r="Q134" i="6" s="1"/>
  <c r="M104" i="6"/>
  <c r="N104" i="6" s="1"/>
  <c r="O104" i="6" s="1"/>
  <c r="P104" i="6" s="1"/>
  <c r="Q104" i="6" s="1"/>
  <c r="M149" i="7"/>
  <c r="N149" i="7" s="1"/>
  <c r="O149" i="7" s="1"/>
  <c r="P149" i="7" s="1"/>
  <c r="Q149" i="7" s="1"/>
  <c r="M90" i="6"/>
  <c r="O90" i="6" s="1"/>
  <c r="P90" i="6" s="1"/>
  <c r="Q90" i="6" s="1"/>
  <c r="M109" i="7"/>
  <c r="N109" i="7" s="1"/>
  <c r="O109" i="7" s="1"/>
  <c r="P109" i="7" s="1"/>
  <c r="Q109" i="7" s="1"/>
  <c r="M133" i="7"/>
  <c r="N133" i="7" s="1"/>
  <c r="O133" i="7" s="1"/>
  <c r="P133" i="7" s="1"/>
  <c r="Q133" i="7" s="1"/>
  <c r="M103" i="6"/>
  <c r="N103" i="6" s="1"/>
  <c r="O103" i="6" s="1"/>
  <c r="P103" i="6" s="1"/>
  <c r="Q103" i="6" s="1"/>
  <c r="M102" i="7"/>
  <c r="N102" i="7" s="1"/>
  <c r="O102" i="7" s="1"/>
  <c r="P102" i="7" s="1"/>
  <c r="Q102" i="7" s="1"/>
  <c r="M101" i="6"/>
  <c r="N101" i="6" s="1"/>
  <c r="O101" i="6" s="1"/>
  <c r="P101" i="6" s="1"/>
  <c r="Q101" i="6" s="1"/>
  <c r="M110" i="6"/>
  <c r="N110" i="6" s="1"/>
  <c r="O110" i="6" s="1"/>
  <c r="P110" i="6" s="1"/>
  <c r="Q110" i="6" s="1"/>
  <c r="M19" i="7"/>
  <c r="N19" i="7" s="1"/>
  <c r="O19" i="7" s="1"/>
  <c r="P19" i="7" s="1"/>
  <c r="Q19" i="7" s="1"/>
  <c r="I125" i="7"/>
  <c r="J125" i="7" s="1"/>
  <c r="M125" i="7" s="1"/>
  <c r="N125" i="7" s="1"/>
  <c r="O125" i="7" s="1"/>
  <c r="P125" i="7" s="1"/>
  <c r="Q125" i="7" s="1"/>
  <c r="N31" i="7"/>
  <c r="O31" i="7"/>
  <c r="I1325" i="4"/>
  <c r="I650" i="4"/>
  <c r="I652" i="4" s="1"/>
  <c r="G46" i="8"/>
  <c r="I46" i="8" s="1"/>
  <c r="J46" i="8" s="1"/>
  <c r="M46" i="8" s="1"/>
  <c r="N46" i="8" s="1"/>
  <c r="G48" i="6"/>
  <c r="I48" i="6" s="1"/>
  <c r="J48" i="6" s="1"/>
  <c r="G45" i="7"/>
  <c r="H45" i="7" s="1"/>
  <c r="I610" i="4"/>
  <c r="I464" i="4"/>
  <c r="I466" i="4" s="1"/>
  <c r="I215" i="4"/>
  <c r="G20" i="7" s="1"/>
  <c r="I137" i="8"/>
  <c r="J137" i="8" s="1"/>
  <c r="M137" i="8" s="1"/>
  <c r="N137" i="8" s="1"/>
  <c r="I138" i="7"/>
  <c r="J138" i="7" s="1"/>
  <c r="H149" i="7"/>
  <c r="G145" i="8"/>
  <c r="I145" i="8" s="1"/>
  <c r="J145" i="8" s="1"/>
  <c r="M145" i="8" s="1"/>
  <c r="N145" i="8" s="1"/>
  <c r="I126" i="8"/>
  <c r="J126" i="8" s="1"/>
  <c r="M126" i="8" s="1"/>
  <c r="N126" i="8" s="1"/>
  <c r="H14" i="6"/>
  <c r="I14" i="7"/>
  <c r="J14" i="7" s="1"/>
  <c r="I37" i="4"/>
  <c r="G10" i="6" s="1"/>
  <c r="H10" i="6" s="1"/>
  <c r="K35" i="4"/>
  <c r="H100" i="8"/>
  <c r="I99" i="7"/>
  <c r="J99" i="7" s="1"/>
  <c r="H136" i="7"/>
  <c r="I137" i="6"/>
  <c r="J137" i="6" s="1"/>
  <c r="G22" i="8"/>
  <c r="I22" i="8" s="1"/>
  <c r="J22" i="8" s="1"/>
  <c r="M22" i="8" s="1"/>
  <c r="N22" i="8" s="1"/>
  <c r="I247" i="4"/>
  <c r="G21" i="7"/>
  <c r="I21" i="7" s="1"/>
  <c r="J21" i="7" s="1"/>
  <c r="G22" i="6"/>
  <c r="H22" i="6" s="1"/>
  <c r="H100" i="6"/>
  <c r="I143" i="8"/>
  <c r="J143" i="8" s="1"/>
  <c r="M143" i="8" s="1"/>
  <c r="N143" i="8" s="1"/>
  <c r="I142" i="8"/>
  <c r="J142" i="8" s="1"/>
  <c r="M142" i="8" s="1"/>
  <c r="N142" i="8" s="1"/>
  <c r="I108" i="8"/>
  <c r="J108" i="8" s="1"/>
  <c r="M108" i="8" s="1"/>
  <c r="N108" i="8" s="1"/>
  <c r="I142" i="7"/>
  <c r="J142" i="7" s="1"/>
  <c r="G145" i="6"/>
  <c r="I145" i="6" s="1"/>
  <c r="J145" i="6" s="1"/>
  <c r="G144" i="7"/>
  <c r="I144" i="7" s="1"/>
  <c r="J144" i="7" s="1"/>
  <c r="H110" i="8"/>
  <c r="I2139" i="4"/>
  <c r="G64" i="6"/>
  <c r="I64" i="6" s="1"/>
  <c r="J64" i="6" s="1"/>
  <c r="I392" i="4"/>
  <c r="G32" i="8"/>
  <c r="I32" i="8" s="1"/>
  <c r="J32" i="8" s="1"/>
  <c r="M32" i="8" s="1"/>
  <c r="N32" i="8" s="1"/>
  <c r="G62" i="7"/>
  <c r="H62" i="7" s="1"/>
  <c r="G62" i="8"/>
  <c r="I62" i="8" s="1"/>
  <c r="J62" i="8" s="1"/>
  <c r="M62" i="8" s="1"/>
  <c r="N62" i="8" s="1"/>
  <c r="I107" i="7"/>
  <c r="J107" i="7" s="1"/>
  <c r="G34" i="6"/>
  <c r="H34" i="6" s="1"/>
  <c r="H141" i="7"/>
  <c r="H31" i="7"/>
  <c r="H143" i="6"/>
  <c r="H125" i="7"/>
  <c r="I126" i="6"/>
  <c r="J126" i="6" s="1"/>
  <c r="I84" i="4"/>
  <c r="I102" i="6"/>
  <c r="J102" i="6" s="1"/>
  <c r="I101" i="7"/>
  <c r="J101" i="7" s="1"/>
  <c r="G23" i="7"/>
  <c r="I23" i="7" s="1"/>
  <c r="J23" i="7" s="1"/>
  <c r="G24" i="8"/>
  <c r="H24" i="8" s="1"/>
  <c r="I285" i="4"/>
  <c r="G25" i="6"/>
  <c r="H25" i="6" s="1"/>
  <c r="G12" i="7"/>
  <c r="G12" i="6"/>
  <c r="I12" i="6" s="1"/>
  <c r="J12" i="6" s="1"/>
  <c r="G12" i="8"/>
  <c r="I12" i="8" s="1"/>
  <c r="J12" i="8" s="1"/>
  <c r="M12" i="8" s="1"/>
  <c r="N12" i="8" s="1"/>
  <c r="I139" i="8"/>
  <c r="J139" i="8" s="1"/>
  <c r="M139" i="8" s="1"/>
  <c r="N139" i="8" s="1"/>
  <c r="I139" i="6"/>
  <c r="J139" i="6" s="1"/>
  <c r="H19" i="8"/>
  <c r="H19" i="7"/>
  <c r="G19" i="5"/>
  <c r="H109" i="7"/>
  <c r="I38" i="8"/>
  <c r="J38" i="8" s="1"/>
  <c r="M38" i="8" s="1"/>
  <c r="N38" i="8" s="1"/>
  <c r="I107" i="8"/>
  <c r="J107" i="8" s="1"/>
  <c r="M107" i="8" s="1"/>
  <c r="N107" i="8" s="1"/>
  <c r="H110" i="6"/>
  <c r="I40" i="6"/>
  <c r="J40" i="6" s="1"/>
  <c r="H139" i="7"/>
  <c r="H106" i="6"/>
  <c r="H104" i="6"/>
  <c r="I34" i="8"/>
  <c r="J34" i="8" s="1"/>
  <c r="M34" i="8" s="1"/>
  <c r="N34" i="8" s="1"/>
  <c r="H103" i="8"/>
  <c r="I105" i="7"/>
  <c r="J105" i="7" s="1"/>
  <c r="H106" i="7"/>
  <c r="H101" i="6"/>
  <c r="I100" i="7"/>
  <c r="J100" i="7" s="1"/>
  <c r="I101" i="8"/>
  <c r="J101" i="8" s="1"/>
  <c r="M101" i="8" s="1"/>
  <c r="N101" i="8" s="1"/>
  <c r="I114" i="6"/>
  <c r="J114" i="6" s="1"/>
  <c r="M114" i="6" s="1"/>
  <c r="N114" i="6" s="1"/>
  <c r="O114" i="6" s="1"/>
  <c r="P114" i="6" s="1"/>
  <c r="Q114" i="6" s="1"/>
  <c r="H102" i="7"/>
  <c r="I104" i="8"/>
  <c r="J104" i="8" s="1"/>
  <c r="M104" i="8" s="1"/>
  <c r="N104" i="8" s="1"/>
  <c r="I140" i="6"/>
  <c r="J140" i="6" s="1"/>
  <c r="I113" i="7"/>
  <c r="J113" i="7" s="1"/>
  <c r="M113" i="7" s="1"/>
  <c r="N113" i="7" s="1"/>
  <c r="O113" i="7" s="1"/>
  <c r="P113" i="7" s="1"/>
  <c r="Q113" i="7" s="1"/>
  <c r="H36" i="6"/>
  <c r="H150" i="6"/>
  <c r="G16" i="5"/>
  <c r="H16" i="5"/>
  <c r="I16" i="5" s="1"/>
  <c r="L16" i="5" s="1"/>
  <c r="M16" i="5" s="1"/>
  <c r="N16" i="5" s="1"/>
  <c r="G57" i="6"/>
  <c r="G55" i="8"/>
  <c r="G55" i="7"/>
  <c r="I150" i="8"/>
  <c r="J150" i="8" s="1"/>
  <c r="M150" i="8" s="1"/>
  <c r="N150" i="8" s="1"/>
  <c r="I1009" i="4"/>
  <c r="G88" i="6"/>
  <c r="G87" i="7"/>
  <c r="G88" i="8"/>
  <c r="H120" i="6"/>
  <c r="I120" i="6"/>
  <c r="J120" i="6" s="1"/>
  <c r="H147" i="8"/>
  <c r="I147" i="8"/>
  <c r="J147" i="8" s="1"/>
  <c r="M147" i="8" s="1"/>
  <c r="N147" i="8" s="1"/>
  <c r="H141" i="8"/>
  <c r="I141" i="8"/>
  <c r="J141" i="8" s="1"/>
  <c r="M141" i="8" s="1"/>
  <c r="N141" i="8" s="1"/>
  <c r="H57" i="8"/>
  <c r="I57" i="8"/>
  <c r="J57" i="8" s="1"/>
  <c r="M57" i="8" s="1"/>
  <c r="N57" i="8" s="1"/>
  <c r="H123" i="8"/>
  <c r="I123" i="8"/>
  <c r="J123" i="8" s="1"/>
  <c r="M123" i="8" s="1"/>
  <c r="N123" i="8" s="1"/>
  <c r="H59" i="6"/>
  <c r="I59" i="6"/>
  <c r="J59" i="6" s="1"/>
  <c r="I122" i="7"/>
  <c r="J122" i="7" s="1"/>
  <c r="H122" i="7"/>
  <c r="H59" i="8"/>
  <c r="I59" i="8"/>
  <c r="J59" i="8" s="1"/>
  <c r="M59" i="8" s="1"/>
  <c r="N59" i="8" s="1"/>
  <c r="H16" i="8"/>
  <c r="I16" i="8"/>
  <c r="J16" i="8" s="1"/>
  <c r="M16" i="8" s="1"/>
  <c r="N16" i="8" s="1"/>
  <c r="H119" i="7"/>
  <c r="I119" i="7"/>
  <c r="J119" i="7" s="1"/>
  <c r="H146" i="7"/>
  <c r="I146" i="7"/>
  <c r="J146" i="7" s="1"/>
  <c r="H57" i="7"/>
  <c r="I57" i="7"/>
  <c r="J57" i="7" s="1"/>
  <c r="M57" i="7" s="1"/>
  <c r="P57" i="7" s="1"/>
  <c r="Q57" i="7" s="1"/>
  <c r="H53" i="7"/>
  <c r="I53" i="7"/>
  <c r="J53" i="7" s="1"/>
  <c r="M53" i="7" s="1"/>
  <c r="P53" i="7" s="1"/>
  <c r="I61" i="6"/>
  <c r="J61" i="6" s="1"/>
  <c r="H61" i="6"/>
  <c r="G83" i="7"/>
  <c r="G84" i="6"/>
  <c r="G84" i="8"/>
  <c r="I973" i="4"/>
  <c r="I16" i="7"/>
  <c r="J16" i="7" s="1"/>
  <c r="H16" i="7"/>
  <c r="I53" i="8"/>
  <c r="J53" i="8" s="1"/>
  <c r="M53" i="8" s="1"/>
  <c r="N53" i="8" s="1"/>
  <c r="H53" i="8"/>
  <c r="I141" i="6"/>
  <c r="J141" i="6" s="1"/>
  <c r="H141" i="6"/>
  <c r="H16" i="6"/>
  <c r="I16" i="6"/>
  <c r="J16" i="6" s="1"/>
  <c r="H120" i="8"/>
  <c r="I120" i="8"/>
  <c r="J120" i="8" s="1"/>
  <c r="M120" i="8" s="1"/>
  <c r="N120" i="8" s="1"/>
  <c r="H147" i="6"/>
  <c r="I147" i="6"/>
  <c r="J147" i="6" s="1"/>
  <c r="I140" i="7"/>
  <c r="J140" i="7" s="1"/>
  <c r="H140" i="7"/>
  <c r="H123" i="6"/>
  <c r="H55" i="6"/>
  <c r="I55" i="6"/>
  <c r="J55" i="6" s="1"/>
  <c r="M55" i="6" s="1"/>
  <c r="P55" i="6" s="1"/>
  <c r="Q55" i="6" s="1"/>
  <c r="I59" i="7"/>
  <c r="J59" i="7" s="1"/>
  <c r="H59" i="7"/>
  <c r="G138" i="18" l="1"/>
  <c r="H138" i="5"/>
  <c r="I138" i="5" s="1"/>
  <c r="L138" i="5" s="1"/>
  <c r="M138" i="5" s="1"/>
  <c r="N138" i="5" s="1"/>
  <c r="G138" i="5"/>
  <c r="L79" i="5"/>
  <c r="M79" i="5" s="1"/>
  <c r="N79" i="5" s="1"/>
  <c r="G47" i="7"/>
  <c r="G27" i="6"/>
  <c r="Q36" i="6"/>
  <c r="P36" i="6"/>
  <c r="H90" i="8"/>
  <c r="H89" i="7"/>
  <c r="H89" i="6"/>
  <c r="H89" i="8"/>
  <c r="I88" i="7"/>
  <c r="J88" i="7" s="1"/>
  <c r="M88" i="7" s="1"/>
  <c r="N88" i="7" s="1"/>
  <c r="O88" i="7" s="1"/>
  <c r="P88" i="7" s="1"/>
  <c r="Q88" i="7" s="1"/>
  <c r="N55" i="6"/>
  <c r="O55" i="6"/>
  <c r="M140" i="6"/>
  <c r="N140" i="6" s="1"/>
  <c r="O140" i="6" s="1"/>
  <c r="P140" i="6" s="1"/>
  <c r="Q140" i="6" s="1"/>
  <c r="M122" i="7"/>
  <c r="N122" i="7" s="1"/>
  <c r="O122" i="7" s="1"/>
  <c r="P122" i="7" s="1"/>
  <c r="Q122" i="7" s="1"/>
  <c r="M23" i="7"/>
  <c r="N23" i="7" s="1"/>
  <c r="O23" i="7" s="1"/>
  <c r="P23" i="7" s="1"/>
  <c r="Q23" i="7" s="1"/>
  <c r="M59" i="6"/>
  <c r="P59" i="6" s="1"/>
  <c r="Q59" i="6" s="1"/>
  <c r="M107" i="7"/>
  <c r="N107" i="7" s="1"/>
  <c r="O107" i="7" s="1"/>
  <c r="P107" i="7" s="1"/>
  <c r="Q107" i="7" s="1"/>
  <c r="M126" i="6"/>
  <c r="N126" i="6" s="1"/>
  <c r="O126" i="6" s="1"/>
  <c r="P126" i="6" s="1"/>
  <c r="Q126" i="6" s="1"/>
  <c r="M144" i="7"/>
  <c r="N144" i="7" s="1"/>
  <c r="O144" i="7" s="1"/>
  <c r="P144" i="7" s="1"/>
  <c r="Q144" i="7" s="1"/>
  <c r="M99" i="7"/>
  <c r="N99" i="7" s="1"/>
  <c r="O99" i="7" s="1"/>
  <c r="P99" i="7" s="1"/>
  <c r="Q99" i="7" s="1"/>
  <c r="M48" i="6"/>
  <c r="O48" i="6" s="1"/>
  <c r="P48" i="6" s="1"/>
  <c r="Q48" i="6" s="1"/>
  <c r="N36" i="6"/>
  <c r="M140" i="7"/>
  <c r="N140" i="7" s="1"/>
  <c r="O140" i="7" s="1"/>
  <c r="P140" i="7" s="1"/>
  <c r="Q140" i="7" s="1"/>
  <c r="M120" i="6"/>
  <c r="N120" i="6" s="1"/>
  <c r="O120" i="6" s="1"/>
  <c r="P120" i="6" s="1"/>
  <c r="Q120" i="6" s="1"/>
  <c r="M105" i="7"/>
  <c r="N105" i="7" s="1"/>
  <c r="O105" i="7" s="1"/>
  <c r="P105" i="7" s="1"/>
  <c r="Q105" i="7" s="1"/>
  <c r="M12" i="6"/>
  <c r="O12" i="6" s="1"/>
  <c r="P12" i="6" s="1"/>
  <c r="Q12" i="6" s="1"/>
  <c r="M101" i="7"/>
  <c r="N101" i="7" s="1"/>
  <c r="O101" i="7" s="1"/>
  <c r="P101" i="7" s="1"/>
  <c r="Q101" i="7" s="1"/>
  <c r="M21" i="7"/>
  <c r="N21" i="7" s="1"/>
  <c r="O21" i="7" s="1"/>
  <c r="P21" i="7" s="1"/>
  <c r="Q21" i="7" s="1"/>
  <c r="M138" i="7"/>
  <c r="N138" i="7" s="1"/>
  <c r="O138" i="7" s="1"/>
  <c r="P138" i="7" s="1"/>
  <c r="Q138" i="7" s="1"/>
  <c r="N19" i="6"/>
  <c r="M119" i="7"/>
  <c r="N119" i="7" s="1"/>
  <c r="O119" i="7" s="1"/>
  <c r="P119" i="7" s="1"/>
  <c r="Q119" i="7" s="1"/>
  <c r="M100" i="7"/>
  <c r="N100" i="7" s="1"/>
  <c r="O100" i="7" s="1"/>
  <c r="P100" i="7" s="1"/>
  <c r="Q100" i="7" s="1"/>
  <c r="M16" i="7"/>
  <c r="N16" i="7" s="1"/>
  <c r="O16" i="7" s="1"/>
  <c r="P16" i="7" s="1"/>
  <c r="Q16" i="7" s="1"/>
  <c r="M147" i="6"/>
  <c r="N147" i="6" s="1"/>
  <c r="O147" i="6" s="1"/>
  <c r="P147" i="6" s="1"/>
  <c r="Q147" i="6" s="1"/>
  <c r="M89" i="6"/>
  <c r="O89" i="6" s="1"/>
  <c r="P89" i="6" s="1"/>
  <c r="Q89" i="6" s="1"/>
  <c r="M102" i="6"/>
  <c r="N102" i="6" s="1"/>
  <c r="O102" i="6" s="1"/>
  <c r="P102" i="6" s="1"/>
  <c r="Q102" i="6" s="1"/>
  <c r="M145" i="6"/>
  <c r="N145" i="6" s="1"/>
  <c r="O145" i="6" s="1"/>
  <c r="P145" i="6" s="1"/>
  <c r="Q145" i="6" s="1"/>
  <c r="N14" i="6"/>
  <c r="M61" i="6"/>
  <c r="O61" i="6" s="1"/>
  <c r="P61" i="6" s="1"/>
  <c r="Q61" i="6" s="1"/>
  <c r="M139" i="6"/>
  <c r="N139" i="6" s="1"/>
  <c r="O139" i="6" s="1"/>
  <c r="P139" i="6" s="1"/>
  <c r="Q139" i="6" s="1"/>
  <c r="M64" i="6"/>
  <c r="O64" i="6" s="1"/>
  <c r="P64" i="6" s="1"/>
  <c r="Q64" i="6" s="1"/>
  <c r="M142" i="7"/>
  <c r="N142" i="7" s="1"/>
  <c r="O142" i="7" s="1"/>
  <c r="P142" i="7" s="1"/>
  <c r="Q142" i="7" s="1"/>
  <c r="N90" i="6"/>
  <c r="M137" i="6"/>
  <c r="N137" i="6" s="1"/>
  <c r="O137" i="6" s="1"/>
  <c r="P137" i="6" s="1"/>
  <c r="Q137" i="6" s="1"/>
  <c r="M16" i="6"/>
  <c r="O16" i="6" s="1"/>
  <c r="P16" i="6" s="1"/>
  <c r="Q16" i="6" s="1"/>
  <c r="M141" i="6"/>
  <c r="N141" i="6" s="1"/>
  <c r="O141" i="6" s="1"/>
  <c r="P141" i="6" s="1"/>
  <c r="Q141" i="6" s="1"/>
  <c r="M146" i="7"/>
  <c r="N146" i="7" s="1"/>
  <c r="O146" i="7" s="1"/>
  <c r="P146" i="7" s="1"/>
  <c r="Q146" i="7" s="1"/>
  <c r="M59" i="7"/>
  <c r="N59" i="7" s="1"/>
  <c r="O59" i="7" s="1"/>
  <c r="P59" i="7" s="1"/>
  <c r="Q59" i="7" s="1"/>
  <c r="M40" i="6"/>
  <c r="O40" i="6" s="1"/>
  <c r="M14" i="7"/>
  <c r="N14" i="7" s="1"/>
  <c r="O14" i="7" s="1"/>
  <c r="P14" i="7" s="1"/>
  <c r="Q14" i="7" s="1"/>
  <c r="N57" i="7"/>
  <c r="O57" i="7"/>
  <c r="N53" i="7"/>
  <c r="O53" i="7"/>
  <c r="Q53" i="7"/>
  <c r="G105" i="6"/>
  <c r="G104" i="7"/>
  <c r="G105" i="8"/>
  <c r="I1327" i="4"/>
  <c r="H46" i="8"/>
  <c r="H48" i="6"/>
  <c r="I1444" i="4"/>
  <c r="I1445" i="4" s="1"/>
  <c r="I1447" i="4" s="1"/>
  <c r="G109" i="8" s="1"/>
  <c r="G20" i="8"/>
  <c r="I20" i="8" s="1"/>
  <c r="J20" i="8" s="1"/>
  <c r="M20" i="8" s="1"/>
  <c r="N20" i="8" s="1"/>
  <c r="G20" i="6"/>
  <c r="H20" i="6" s="1"/>
  <c r="I217" i="4"/>
  <c r="G20" i="5"/>
  <c r="I45" i="7"/>
  <c r="J45" i="7" s="1"/>
  <c r="H145" i="8"/>
  <c r="G47" i="8"/>
  <c r="G46" i="7"/>
  <c r="G49" i="6"/>
  <c r="G36" i="8"/>
  <c r="I36" i="8" s="1"/>
  <c r="J36" i="8" s="1"/>
  <c r="M36" i="8" s="1"/>
  <c r="N36" i="8" s="1"/>
  <c r="I468" i="4"/>
  <c r="G38" i="6"/>
  <c r="H38" i="6" s="1"/>
  <c r="G35" i="7"/>
  <c r="G10" i="8"/>
  <c r="I10" i="8" s="1"/>
  <c r="J10" i="8" s="1"/>
  <c r="M10" i="8" s="1"/>
  <c r="N10" i="8" s="1"/>
  <c r="G10" i="5"/>
  <c r="I39" i="4"/>
  <c r="G10" i="7"/>
  <c r="H10" i="7" s="1"/>
  <c r="B45" i="4"/>
  <c r="I22" i="6"/>
  <c r="J22" i="6" s="1"/>
  <c r="H21" i="7"/>
  <c r="H22" i="8"/>
  <c r="H145" i="6"/>
  <c r="H64" i="6"/>
  <c r="H144" i="7"/>
  <c r="H32" i="8"/>
  <c r="I62" i="7"/>
  <c r="J62" i="7" s="1"/>
  <c r="H62" i="8"/>
  <c r="I34" i="6"/>
  <c r="J34" i="6" s="1"/>
  <c r="H23" i="7"/>
  <c r="H12" i="5"/>
  <c r="I12" i="5" s="1"/>
  <c r="G12" i="5"/>
  <c r="H12" i="6"/>
  <c r="I24" i="8"/>
  <c r="J24" i="8" s="1"/>
  <c r="M24" i="8" s="1"/>
  <c r="N24" i="8" s="1"/>
  <c r="H12" i="8"/>
  <c r="H24" i="5"/>
  <c r="I24" i="5" s="1"/>
  <c r="L24" i="5" s="1"/>
  <c r="M24" i="5" s="1"/>
  <c r="N24" i="5" s="1"/>
  <c r="G24" i="5"/>
  <c r="I25" i="6"/>
  <c r="J25" i="6" s="1"/>
  <c r="I12" i="7"/>
  <c r="J12" i="7" s="1"/>
  <c r="H12" i="7"/>
  <c r="I10" i="6"/>
  <c r="J10" i="6" s="1"/>
  <c r="H88" i="6"/>
  <c r="I88" i="6"/>
  <c r="J88" i="6" s="1"/>
  <c r="I88" i="8"/>
  <c r="J88" i="8" s="1"/>
  <c r="M88" i="8" s="1"/>
  <c r="N88" i="8" s="1"/>
  <c r="H88" i="8"/>
  <c r="H87" i="7"/>
  <c r="I87" i="7"/>
  <c r="J87" i="7" s="1"/>
  <c r="H84" i="8"/>
  <c r="I84" i="8"/>
  <c r="J84" i="8" s="1"/>
  <c r="M84" i="8" s="1"/>
  <c r="N84" i="8" s="1"/>
  <c r="H84" i="6"/>
  <c r="I84" i="6"/>
  <c r="J84" i="6" s="1"/>
  <c r="I55" i="7"/>
  <c r="J55" i="7" s="1"/>
  <c r="H55" i="7"/>
  <c r="H83" i="7"/>
  <c r="I83" i="7"/>
  <c r="J83" i="7" s="1"/>
  <c r="H57" i="6"/>
  <c r="I57" i="6"/>
  <c r="J57" i="6" s="1"/>
  <c r="M57" i="6" s="1"/>
  <c r="O57" i="6" s="1"/>
  <c r="P57" i="6" s="1"/>
  <c r="Q57" i="6" s="1"/>
  <c r="H55" i="8"/>
  <c r="I55" i="8"/>
  <c r="J55" i="8" s="1"/>
  <c r="M55" i="8" s="1"/>
  <c r="N55" i="8" s="1"/>
  <c r="H20" i="7"/>
  <c r="I20" i="7"/>
  <c r="J20" i="7" s="1"/>
  <c r="I27" i="6" l="1"/>
  <c r="J27" i="6" s="1"/>
  <c r="M27" i="6" s="1"/>
  <c r="H27" i="6"/>
  <c r="H47" i="7"/>
  <c r="I47" i="7"/>
  <c r="J47" i="7" s="1"/>
  <c r="M47" i="7"/>
  <c r="N47" i="7" s="1"/>
  <c r="O47" i="7" s="1"/>
  <c r="P47" i="7" s="1"/>
  <c r="Q47" i="7" s="1"/>
  <c r="Q40" i="6"/>
  <c r="P40" i="6"/>
  <c r="N61" i="6"/>
  <c r="M25" i="6"/>
  <c r="O25" i="6" s="1"/>
  <c r="P25" i="6" s="1"/>
  <c r="Q25" i="6" s="1"/>
  <c r="N64" i="6"/>
  <c r="M62" i="7"/>
  <c r="N62" i="7" s="1"/>
  <c r="O62" i="7" s="1"/>
  <c r="P62" i="7" s="1"/>
  <c r="Q62" i="7" s="1"/>
  <c r="N12" i="6"/>
  <c r="M88" i="6"/>
  <c r="O88" i="6" s="1"/>
  <c r="P88" i="6" s="1"/>
  <c r="Q88" i="6" s="1"/>
  <c r="M10" i="6"/>
  <c r="O10" i="6" s="1"/>
  <c r="P10" i="6" s="1"/>
  <c r="Q10" i="6" s="1"/>
  <c r="N16" i="6"/>
  <c r="M22" i="6"/>
  <c r="O22" i="6" s="1"/>
  <c r="P22" i="6" s="1"/>
  <c r="Q22" i="6" s="1"/>
  <c r="M84" i="6"/>
  <c r="O84" i="6" s="1"/>
  <c r="P84" i="6" s="1"/>
  <c r="Q84" i="6" s="1"/>
  <c r="M12" i="7"/>
  <c r="N12" i="7" s="1"/>
  <c r="O12" i="7" s="1"/>
  <c r="P12" i="7" s="1"/>
  <c r="Q12" i="7" s="1"/>
  <c r="N48" i="6"/>
  <c r="M34" i="6"/>
  <c r="O34" i="6" s="1"/>
  <c r="O59" i="6"/>
  <c r="M20" i="7"/>
  <c r="N20" i="7" s="1"/>
  <c r="O20" i="7" s="1"/>
  <c r="P20" i="7" s="1"/>
  <c r="Q20" i="7" s="1"/>
  <c r="M45" i="7"/>
  <c r="N45" i="7" s="1"/>
  <c r="O45" i="7" s="1"/>
  <c r="P45" i="7" s="1"/>
  <c r="Q45" i="7" s="1"/>
  <c r="M55" i="7"/>
  <c r="N55" i="7" s="1"/>
  <c r="O55" i="7" s="1"/>
  <c r="P55" i="7" s="1"/>
  <c r="Q55" i="7" s="1"/>
  <c r="N40" i="6"/>
  <c r="M83" i="7"/>
  <c r="N83" i="7" s="1"/>
  <c r="O83" i="7" s="1"/>
  <c r="P83" i="7" s="1"/>
  <c r="Q83" i="7" s="1"/>
  <c r="M87" i="7"/>
  <c r="N87" i="7" s="1"/>
  <c r="O87" i="7" s="1"/>
  <c r="P87" i="7" s="1"/>
  <c r="Q87" i="7" s="1"/>
  <c r="N89" i="6"/>
  <c r="N59" i="6"/>
  <c r="L12" i="5"/>
  <c r="M12" i="5" s="1"/>
  <c r="N12" i="5" s="1"/>
  <c r="H105" i="8"/>
  <c r="I105" i="8"/>
  <c r="J105" i="8" s="1"/>
  <c r="M105" i="8" s="1"/>
  <c r="N105" i="8" s="1"/>
  <c r="I104" i="7"/>
  <c r="J104" i="7" s="1"/>
  <c r="H104" i="7"/>
  <c r="I105" i="6"/>
  <c r="J105" i="6" s="1"/>
  <c r="H105" i="6"/>
  <c r="G108" i="7"/>
  <c r="H108" i="7" s="1"/>
  <c r="I1449" i="4"/>
  <c r="H20" i="5"/>
  <c r="I20" i="5" s="1"/>
  <c r="L20" i="5" s="1"/>
  <c r="M20" i="5" s="1"/>
  <c r="N20" i="5" s="1"/>
  <c r="I20" i="6"/>
  <c r="J20" i="6" s="1"/>
  <c r="G109" i="6"/>
  <c r="H109" i="6" s="1"/>
  <c r="H20" i="8"/>
  <c r="I49" i="6"/>
  <c r="J49" i="6" s="1"/>
  <c r="H49" i="6"/>
  <c r="I46" i="7"/>
  <c r="J46" i="7" s="1"/>
  <c r="H46" i="7"/>
  <c r="H47" i="8"/>
  <c r="I47" i="8"/>
  <c r="J47" i="8" s="1"/>
  <c r="M47" i="8" s="1"/>
  <c r="N47" i="8" s="1"/>
  <c r="H36" i="8"/>
  <c r="I35" i="7"/>
  <c r="J35" i="7" s="1"/>
  <c r="H35" i="7"/>
  <c r="I38" i="6"/>
  <c r="J38" i="6" s="1"/>
  <c r="H10" i="8"/>
  <c r="I10" i="7"/>
  <c r="J10" i="7" s="1"/>
  <c r="H14" i="5"/>
  <c r="I14" i="5" s="1"/>
  <c r="G14" i="5"/>
  <c r="H21" i="5"/>
  <c r="I21" i="5" s="1"/>
  <c r="L21" i="5" s="1"/>
  <c r="M21" i="5" s="1"/>
  <c r="N21" i="5" s="1"/>
  <c r="G21" i="5"/>
  <c r="H109" i="8"/>
  <c r="I109" i="8"/>
  <c r="J109" i="8" s="1"/>
  <c r="M109" i="8" s="1"/>
  <c r="N109" i="8" s="1"/>
  <c r="F165" i="1"/>
  <c r="F924" i="4" s="1"/>
  <c r="I924" i="4" s="1"/>
  <c r="I926" i="4" s="1"/>
  <c r="I928" i="4" s="1"/>
  <c r="I10" i="5" l="1"/>
  <c r="N10" i="5" s="1"/>
  <c r="N27" i="6"/>
  <c r="O27" i="6"/>
  <c r="P27" i="6" s="1"/>
  <c r="Q27" i="6" s="1"/>
  <c r="Q34" i="6"/>
  <c r="P34" i="6"/>
  <c r="N22" i="6"/>
  <c r="N88" i="6"/>
  <c r="M46" i="7"/>
  <c r="N46" i="7" s="1"/>
  <c r="O46" i="7" s="1"/>
  <c r="P46" i="7" s="1"/>
  <c r="Q46" i="7" s="1"/>
  <c r="M20" i="6"/>
  <c r="O20" i="6" s="1"/>
  <c r="P20" i="6" s="1"/>
  <c r="Q20" i="6" s="1"/>
  <c r="M104" i="7"/>
  <c r="N104" i="7" s="1"/>
  <c r="O104" i="7" s="1"/>
  <c r="P104" i="7" s="1"/>
  <c r="Q104" i="7" s="1"/>
  <c r="N84" i="6"/>
  <c r="M105" i="6"/>
  <c r="N105" i="6" s="1"/>
  <c r="O105" i="6" s="1"/>
  <c r="P105" i="6" s="1"/>
  <c r="Q105" i="6" s="1"/>
  <c r="M38" i="6"/>
  <c r="O38" i="6" s="1"/>
  <c r="M10" i="7"/>
  <c r="N10" i="7" s="1"/>
  <c r="O10" i="7" s="1"/>
  <c r="P10" i="7" s="1"/>
  <c r="Q10" i="7" s="1"/>
  <c r="N34" i="6"/>
  <c r="M49" i="6"/>
  <c r="O49" i="6" s="1"/>
  <c r="P49" i="6" s="1"/>
  <c r="Q49" i="6" s="1"/>
  <c r="N10" i="6"/>
  <c r="N25" i="6"/>
  <c r="N35" i="7"/>
  <c r="O35" i="7"/>
  <c r="L14" i="5"/>
  <c r="M14" i="5" s="1"/>
  <c r="N14" i="5" s="1"/>
  <c r="I108" i="7"/>
  <c r="J108" i="7" s="1"/>
  <c r="I109" i="6"/>
  <c r="J109" i="6" s="1"/>
  <c r="F2077" i="4"/>
  <c r="D2077" i="4" s="1"/>
  <c r="D2078" i="4" s="1"/>
  <c r="I2080" i="4" s="1"/>
  <c r="I2082" i="4" s="1"/>
  <c r="Q38" i="6" l="1"/>
  <c r="P38" i="6"/>
  <c r="N49" i="6"/>
  <c r="M109" i="6"/>
  <c r="N109" i="6" s="1"/>
  <c r="O109" i="6" s="1"/>
  <c r="P109" i="6" s="1"/>
  <c r="Q109" i="6" s="1"/>
  <c r="N20" i="6"/>
  <c r="N38" i="6"/>
  <c r="M108" i="7"/>
  <c r="N108" i="7" s="1"/>
  <c r="O108" i="7" s="1"/>
  <c r="P108" i="7" s="1"/>
  <c r="Q108" i="7" s="1"/>
  <c r="I2084" i="4"/>
  <c r="G77" i="6"/>
  <c r="G75" i="8"/>
  <c r="G74" i="7"/>
  <c r="G143" i="7"/>
  <c r="G144" i="6"/>
  <c r="G144" i="8"/>
  <c r="H74" i="7" l="1"/>
  <c r="I74" i="7"/>
  <c r="J74" i="7" s="1"/>
  <c r="H144" i="6"/>
  <c r="I144" i="6"/>
  <c r="J144" i="6" s="1"/>
  <c r="H75" i="8"/>
  <c r="I75" i="8"/>
  <c r="J75" i="8" s="1"/>
  <c r="M75" i="8" s="1"/>
  <c r="N75" i="8" s="1"/>
  <c r="H144" i="8"/>
  <c r="I144" i="8"/>
  <c r="J144" i="8" s="1"/>
  <c r="M144" i="8" s="1"/>
  <c r="N144" i="8" s="1"/>
  <c r="I143" i="7"/>
  <c r="J143" i="7" s="1"/>
  <c r="H143" i="7"/>
  <c r="H77" i="6"/>
  <c r="I77" i="6"/>
  <c r="J77" i="6" s="1"/>
  <c r="M144" i="6" l="1"/>
  <c r="N144" i="6" s="1"/>
  <c r="O144" i="6" s="1"/>
  <c r="P144" i="6" s="1"/>
  <c r="Q144" i="6" s="1"/>
  <c r="M74" i="7"/>
  <c r="N74" i="7" s="1"/>
  <c r="O74" i="7" s="1"/>
  <c r="P74" i="7" s="1"/>
  <c r="Q74" i="7" s="1"/>
  <c r="M143" i="7"/>
  <c r="N143" i="7" s="1"/>
  <c r="O143" i="7" s="1"/>
  <c r="P143" i="7" s="1"/>
  <c r="Q143" i="7" s="1"/>
  <c r="M77" i="6"/>
  <c r="O77" i="6" s="1"/>
  <c r="P77" i="6" s="1"/>
  <c r="Q77" i="6" s="1"/>
  <c r="D114" i="6"/>
  <c r="I1507" i="4"/>
  <c r="D114" i="8"/>
  <c r="D113" i="7"/>
  <c r="N77"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Thinus Kruger</author>
    <author>tc={9FDAE2E2-F01C-412A-B285-2AC4ADD8691F}</author>
    <author>Xoliswa Mbali</author>
  </authors>
  <commentList>
    <comment ref="E5" authorId="0" shapeId="0" xr:uid="{00000000-0006-0000-0000-000001000000}">
      <text>
        <r>
          <rPr>
            <b/>
            <sz val="8"/>
            <color indexed="81"/>
            <rFont val="Tahoma"/>
            <family val="2"/>
          </rPr>
          <t>Updating of the Tariffs:</t>
        </r>
        <r>
          <rPr>
            <sz val="8"/>
            <color indexed="81"/>
            <rFont val="Tahoma"/>
            <family val="2"/>
          </rPr>
          <t xml:space="preserve">
1.  Copy the current tariffs in the Calc sheet to the previous year column by using copy and Paste Special as Values.
2.  Update the Tender/Store prices on the Unit tariff sheet.
4.  Update the Labour and Transport tariffs.
5. Update the kVA contributions.</t>
        </r>
      </text>
    </comment>
    <comment ref="G36" authorId="1" shapeId="0" xr:uid="{9FDAE2E2-F01C-412A-B285-2AC4ADD8691F}">
      <text>
        <t xml:space="preserve">[Threaded comment]
Your version of Excel allows you to read this threaded comment; however, any edits to it will get removed if the file is opened in a newer version of Excel. Learn more: https://go.microsoft.com/fwlink/?linkid=870924
Comment:
    The store price is R1075, but not a stock item
</t>
      </text>
    </comment>
    <comment ref="G46" authorId="2" shapeId="0" xr:uid="{E65952A7-FAB3-46F9-AA27-CA684B022FDF}">
      <text>
        <r>
          <rPr>
            <b/>
            <sz val="9"/>
            <color indexed="81"/>
            <rFont val="Tahoma"/>
            <family val="2"/>
          </rPr>
          <t>Xoliswa Mbali:</t>
        </r>
        <r>
          <rPr>
            <sz val="9"/>
            <color indexed="81"/>
            <rFont val="Tahoma"/>
            <family val="2"/>
          </rPr>
          <t xml:space="preserve">
Not In stock (NIS)</t>
        </r>
      </text>
    </comment>
    <comment ref="S79" authorId="2" shapeId="0" xr:uid="{00000000-0006-0000-0000-000003000000}">
      <text>
        <r>
          <rPr>
            <b/>
            <sz val="9"/>
            <color indexed="81"/>
            <rFont val="Tahoma"/>
            <family val="2"/>
          </rPr>
          <t>Xoliswa Mbali:</t>
        </r>
        <r>
          <rPr>
            <sz val="9"/>
            <color indexed="81"/>
            <rFont val="Tahoma"/>
            <family val="2"/>
          </rPr>
          <t xml:space="preserve">
Including rock
</t>
        </r>
      </text>
    </comment>
    <comment ref="S86" authorId="2" shapeId="0" xr:uid="{00000000-0006-0000-0000-000004000000}">
      <text>
        <r>
          <rPr>
            <b/>
            <sz val="9"/>
            <color indexed="81"/>
            <rFont val="Tahoma"/>
            <family val="2"/>
          </rPr>
          <t>Xoliswa Mbali:</t>
        </r>
        <r>
          <rPr>
            <sz val="9"/>
            <color indexed="81"/>
            <rFont val="Tahoma"/>
            <family val="2"/>
          </rPr>
          <t xml:space="preserve">
Including Rock
</t>
        </r>
      </text>
    </comment>
    <comment ref="B118" authorId="2" shapeId="0" xr:uid="{00000000-0006-0000-0000-000005000000}">
      <text>
        <r>
          <rPr>
            <b/>
            <sz val="9"/>
            <color indexed="81"/>
            <rFont val="Tahoma"/>
            <family val="2"/>
          </rPr>
          <t>Xoliswa Mbali:</t>
        </r>
        <r>
          <rPr>
            <sz val="9"/>
            <color indexed="81"/>
            <rFont val="Tahoma"/>
            <family val="2"/>
          </rPr>
          <t xml:space="preserve">
Need to get the figures from Control Office for the test Truck</t>
        </r>
      </text>
    </comment>
    <comment ref="F128" authorId="2" shapeId="0" xr:uid="{00000000-0006-0000-0000-000006000000}">
      <text>
        <r>
          <rPr>
            <b/>
            <sz val="9"/>
            <color indexed="81"/>
            <rFont val="Tahoma"/>
            <family val="2"/>
          </rPr>
          <t>Xoliswa Mbali:</t>
        </r>
        <r>
          <rPr>
            <sz val="9"/>
            <color indexed="81"/>
            <rFont val="Tahoma"/>
            <family val="2"/>
          </rPr>
          <t xml:space="preserve">
Escalated by Prime + 2%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Xoliswa Mbali</author>
    <author>tk</author>
  </authors>
  <commentList>
    <comment ref="B234" authorId="0" shapeId="0" xr:uid="{00000000-0006-0000-0100-000001000000}">
      <text>
        <r>
          <rPr>
            <b/>
            <sz val="9"/>
            <color indexed="81"/>
            <rFont val="Tahoma"/>
            <family val="2"/>
          </rPr>
          <t>Xoliswa Mbali:</t>
        </r>
        <r>
          <rPr>
            <sz val="9"/>
            <color indexed="81"/>
            <rFont val="Tahoma"/>
            <family val="2"/>
          </rPr>
          <t xml:space="preserve">
The general workers are not used for connections hence the R/h has been reduced
</t>
        </r>
      </text>
    </comment>
    <comment ref="B238" authorId="0" shapeId="0" xr:uid="{00000000-0006-0000-0100-000002000000}">
      <text>
        <r>
          <rPr>
            <b/>
            <sz val="9"/>
            <color indexed="81"/>
            <rFont val="Tahoma"/>
            <family val="2"/>
          </rPr>
          <t>Xoliswa Mbali:</t>
        </r>
        <r>
          <rPr>
            <sz val="9"/>
            <color indexed="81"/>
            <rFont val="Tahoma"/>
            <family val="2"/>
          </rPr>
          <t xml:space="preserve">
Transport reduced to 6km totaling to 12km
</t>
        </r>
      </text>
    </comment>
    <comment ref="B259" authorId="0" shapeId="0" xr:uid="{00000000-0006-0000-0100-000003000000}">
      <text>
        <r>
          <rPr>
            <b/>
            <sz val="9"/>
            <color indexed="81"/>
            <rFont val="Tahoma"/>
            <family val="2"/>
          </rPr>
          <t>Xoliswa Mbali:</t>
        </r>
        <r>
          <rPr>
            <sz val="9"/>
            <color indexed="81"/>
            <rFont val="Tahoma"/>
            <family val="2"/>
          </rPr>
          <t xml:space="preserve">
Very rare to upgrade the Primary Backbone &amp; assist in job creating</t>
        </r>
      </text>
    </comment>
    <comment ref="B260" authorId="0" shapeId="0" xr:uid="{00000000-0006-0000-0100-000004000000}">
      <text>
        <r>
          <rPr>
            <b/>
            <sz val="9"/>
            <color indexed="81"/>
            <rFont val="Tahoma"/>
            <family val="2"/>
          </rPr>
          <t>Xoliswa Mbali:</t>
        </r>
        <r>
          <rPr>
            <sz val="9"/>
            <color indexed="81"/>
            <rFont val="Tahoma"/>
            <family val="2"/>
          </rPr>
          <t xml:space="preserve">
Very rare to upgrade the Secondary Backbone &amp; assist in job creating</t>
        </r>
      </text>
    </comment>
    <comment ref="B1685" authorId="0" shapeId="0" xr:uid="{00000000-0006-0000-0100-000006000000}">
      <text>
        <r>
          <rPr>
            <b/>
            <sz val="9"/>
            <color indexed="81"/>
            <rFont val="Tahoma"/>
            <family val="2"/>
          </rPr>
          <t>Xoliswa Mbali:</t>
        </r>
        <r>
          <rPr>
            <sz val="9"/>
            <color indexed="81"/>
            <rFont val="Tahoma"/>
            <family val="2"/>
          </rPr>
          <t xml:space="preserve">
Removal &amp; Replacing of the meter
</t>
        </r>
      </text>
    </comment>
    <comment ref="H1930" authorId="1" shapeId="0" xr:uid="{438C6D66-EE55-4690-88B3-999D27CE4835}">
      <text>
        <r>
          <rPr>
            <b/>
            <sz val="8"/>
            <color indexed="81"/>
            <rFont val="Tahoma"/>
            <family val="2"/>
          </rPr>
          <t>tk:</t>
        </r>
        <r>
          <rPr>
            <sz val="8"/>
            <color indexed="81"/>
            <rFont val="Tahoma"/>
            <family val="2"/>
          </rPr>
          <t xml:space="preserve">
Add % increase as per Treasury guide</t>
        </r>
      </text>
    </comment>
    <comment ref="I1930" authorId="1" shapeId="0" xr:uid="{00000000-0006-0000-0100-000007000000}">
      <text>
        <r>
          <rPr>
            <b/>
            <sz val="8"/>
            <color indexed="81"/>
            <rFont val="Tahoma"/>
            <family val="2"/>
          </rPr>
          <t>tk:</t>
        </r>
        <r>
          <rPr>
            <sz val="8"/>
            <color indexed="81"/>
            <rFont val="Tahoma"/>
            <family val="2"/>
          </rPr>
          <t xml:space="preserve">
Add % increase as per Treasury guide</t>
        </r>
      </text>
    </comment>
    <comment ref="H2035" authorId="1" shapeId="0" xr:uid="{E4074984-7CE1-440D-9D18-9B9188627039}">
      <text>
        <r>
          <rPr>
            <b/>
            <sz val="8"/>
            <color indexed="81"/>
            <rFont val="Tahoma"/>
            <family val="2"/>
          </rPr>
          <t>tk:</t>
        </r>
        <r>
          <rPr>
            <sz val="8"/>
            <color indexed="81"/>
            <rFont val="Tahoma"/>
            <family val="2"/>
          </rPr>
          <t xml:space="preserve">
Add % increase as per Treasury guide</t>
        </r>
      </text>
    </comment>
    <comment ref="I2035" authorId="1" shapeId="0" xr:uid="{00000000-0006-0000-0100-000008000000}">
      <text>
        <r>
          <rPr>
            <b/>
            <sz val="8"/>
            <color indexed="81"/>
            <rFont val="Tahoma"/>
            <family val="2"/>
          </rPr>
          <t>tk:</t>
        </r>
        <r>
          <rPr>
            <sz val="8"/>
            <color indexed="81"/>
            <rFont val="Tahoma"/>
            <family val="2"/>
          </rPr>
          <t xml:space="preserve">
Add % increase as per Treasury guide</t>
        </r>
      </text>
    </comment>
    <comment ref="H2036" authorId="1" shapeId="0" xr:uid="{61B91B8B-F66E-4C54-9C8B-95210468650A}">
      <text>
        <r>
          <rPr>
            <b/>
            <sz val="8"/>
            <color indexed="81"/>
            <rFont val="Tahoma"/>
            <family val="2"/>
          </rPr>
          <t>tk:</t>
        </r>
        <r>
          <rPr>
            <sz val="8"/>
            <color indexed="81"/>
            <rFont val="Tahoma"/>
            <family val="2"/>
          </rPr>
          <t xml:space="preserve">
Add % increase as per Treasury guide</t>
        </r>
      </text>
    </comment>
    <comment ref="I2036" authorId="1" shapeId="0" xr:uid="{00000000-0006-0000-0100-000009000000}">
      <text>
        <r>
          <rPr>
            <b/>
            <sz val="8"/>
            <color indexed="81"/>
            <rFont val="Tahoma"/>
            <family val="2"/>
          </rPr>
          <t>tk:</t>
        </r>
        <r>
          <rPr>
            <sz val="8"/>
            <color indexed="81"/>
            <rFont val="Tahoma"/>
            <family val="2"/>
          </rPr>
          <t xml:space="preserve">
Add % increase as per Treasury guide</t>
        </r>
      </text>
    </comment>
    <comment ref="H2037" authorId="1" shapeId="0" xr:uid="{4ED8D973-9827-4669-9083-2F7102E11993}">
      <text>
        <r>
          <rPr>
            <b/>
            <sz val="8"/>
            <color indexed="81"/>
            <rFont val="Tahoma"/>
            <family val="2"/>
          </rPr>
          <t>tk:</t>
        </r>
        <r>
          <rPr>
            <sz val="8"/>
            <color indexed="81"/>
            <rFont val="Tahoma"/>
            <family val="2"/>
          </rPr>
          <t xml:space="preserve">
Add % increase as per Treasury guide</t>
        </r>
      </text>
    </comment>
    <comment ref="I2037" authorId="1" shapeId="0" xr:uid="{00000000-0006-0000-0100-00000A000000}">
      <text>
        <r>
          <rPr>
            <b/>
            <sz val="8"/>
            <color indexed="81"/>
            <rFont val="Tahoma"/>
            <family val="2"/>
          </rPr>
          <t>tk:</t>
        </r>
        <r>
          <rPr>
            <sz val="8"/>
            <color indexed="81"/>
            <rFont val="Tahoma"/>
            <family val="2"/>
          </rPr>
          <t xml:space="preserve">
Add % increase as per Treasury guide</t>
        </r>
      </text>
    </comment>
    <comment ref="H2104" authorId="1" shapeId="0" xr:uid="{37FB496F-93DF-49A0-B1FC-3A652D953C4F}">
      <text>
        <r>
          <rPr>
            <b/>
            <sz val="8"/>
            <color indexed="81"/>
            <rFont val="Tahoma"/>
            <family val="2"/>
          </rPr>
          <t>tk:</t>
        </r>
        <r>
          <rPr>
            <sz val="8"/>
            <color indexed="81"/>
            <rFont val="Tahoma"/>
            <family val="2"/>
          </rPr>
          <t xml:space="preserve">
Add % increase as per Treasury guide</t>
        </r>
      </text>
    </comment>
    <comment ref="I2104" authorId="1" shapeId="0" xr:uid="{00000000-0006-0000-0100-00000B000000}">
      <text>
        <r>
          <rPr>
            <b/>
            <sz val="8"/>
            <color indexed="81"/>
            <rFont val="Tahoma"/>
            <family val="2"/>
          </rPr>
          <t>tk:</t>
        </r>
        <r>
          <rPr>
            <sz val="8"/>
            <color indexed="81"/>
            <rFont val="Tahoma"/>
            <family val="2"/>
          </rPr>
          <t xml:space="preserve">
Add % increase as per Treasury guide</t>
        </r>
      </text>
    </comment>
    <comment ref="H2177" authorId="1" shapeId="0" xr:uid="{95433252-6945-4726-AEF1-8C5DA720E16C}">
      <text>
        <r>
          <rPr>
            <b/>
            <sz val="8"/>
            <color indexed="81"/>
            <rFont val="Tahoma"/>
            <family val="2"/>
          </rPr>
          <t>tk:</t>
        </r>
        <r>
          <rPr>
            <sz val="8"/>
            <color indexed="81"/>
            <rFont val="Tahoma"/>
            <family val="2"/>
          </rPr>
          <t xml:space="preserve">
Add % increase as per Treasury guide</t>
        </r>
      </text>
    </comment>
    <comment ref="I2177" authorId="1" shapeId="0" xr:uid="{00000000-0006-0000-0100-00000C000000}">
      <text>
        <r>
          <rPr>
            <b/>
            <sz val="8"/>
            <color indexed="81"/>
            <rFont val="Tahoma"/>
            <family val="2"/>
          </rPr>
          <t>tk:</t>
        </r>
        <r>
          <rPr>
            <sz val="8"/>
            <color indexed="81"/>
            <rFont val="Tahoma"/>
            <family val="2"/>
          </rPr>
          <t xml:space="preserve">
Add % increase as per Treasury guide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Xoliswa Mbali</author>
  </authors>
  <commentList>
    <comment ref="B234" authorId="0" shapeId="0" xr:uid="{8A2401FA-A0A1-44AB-B0E1-CE279C8B6BAE}">
      <text>
        <r>
          <rPr>
            <b/>
            <sz val="9"/>
            <color indexed="81"/>
            <rFont val="Tahoma"/>
            <family val="2"/>
          </rPr>
          <t>Xoliswa Mbali:</t>
        </r>
        <r>
          <rPr>
            <sz val="9"/>
            <color indexed="81"/>
            <rFont val="Tahoma"/>
            <family val="2"/>
          </rPr>
          <t xml:space="preserve">
The general workers are not used for connections hence the R/h has been reduced
</t>
        </r>
      </text>
    </comment>
  </commentList>
</comments>
</file>

<file path=xl/sharedStrings.xml><?xml version="1.0" encoding="utf-8"?>
<sst xmlns="http://schemas.openxmlformats.org/spreadsheetml/2006/main" count="4393" uniqueCount="789">
  <si>
    <t/>
  </si>
  <si>
    <t xml:space="preserve"> </t>
  </si>
  <si>
    <t>MATERIAL COSTS</t>
  </si>
  <si>
    <t>Prepaid meter (Normal BEC) 1phase</t>
  </si>
  <si>
    <t>16 mm Cu PVC conductor</t>
  </si>
  <si>
    <t>x 100 A circuit breaker</t>
  </si>
  <si>
    <t>x 5A circuit breaker</t>
  </si>
  <si>
    <t>Pole top box</t>
  </si>
  <si>
    <t>Insulated piercing clamp</t>
  </si>
  <si>
    <t>Two way domestic meter box</t>
  </si>
  <si>
    <t>Cement base for meter box</t>
  </si>
  <si>
    <t>m 16 mm x 4 Cu cable</t>
  </si>
  <si>
    <t>m 16 mm x 2 Cu cable</t>
  </si>
  <si>
    <t>Cable joint for 16mm x 4 core cable</t>
  </si>
  <si>
    <t>m 10 mm x 2 Cu cable</t>
  </si>
  <si>
    <t>10 mm Copper Airdac cable</t>
  </si>
  <si>
    <t>Strain clamp - Airdac</t>
  </si>
  <si>
    <t>Installation material</t>
  </si>
  <si>
    <t>m copper earth conductor No 6</t>
  </si>
  <si>
    <t>Baseplate - PP only</t>
  </si>
  <si>
    <t>Baseplate - PP &amp; RB</t>
  </si>
  <si>
    <t>Wooden pole 7m</t>
  </si>
  <si>
    <t>Suspension clamp for Airdac</t>
  </si>
  <si>
    <t>L-Bracket</t>
  </si>
  <si>
    <t>One way Stubby box</t>
  </si>
  <si>
    <t>Two way Stubby box</t>
  </si>
  <si>
    <t>LABOUR COSTS</t>
  </si>
  <si>
    <t>Tariff code</t>
  </si>
  <si>
    <t>per hour</t>
  </si>
  <si>
    <t>per metre</t>
  </si>
  <si>
    <t>per square metre</t>
  </si>
  <si>
    <t>TRANSPORT COSTS</t>
  </si>
  <si>
    <t>per km</t>
  </si>
  <si>
    <t>per hour work</t>
  </si>
  <si>
    <t>(Excl VAT)</t>
  </si>
  <si>
    <t xml:space="preserve">ELECTRICITY TARIFFS </t>
  </si>
  <si>
    <t>Rev Date:</t>
  </si>
  <si>
    <t>Unit</t>
  </si>
  <si>
    <t>per hour standing</t>
  </si>
  <si>
    <t>UNIT TARIFF FOR THE YEAR -----------&gt;</t>
  </si>
  <si>
    <t>(Current tariffs)</t>
  </si>
  <si>
    <t>MATERIAL</t>
  </si>
  <si>
    <t>LABOUR</t>
  </si>
  <si>
    <t>TRANSPORT</t>
  </si>
  <si>
    <t>Total</t>
  </si>
  <si>
    <t>Unit cost</t>
  </si>
  <si>
    <t>km-truck with platform</t>
  </si>
  <si>
    <t>hour-truck with platform</t>
  </si>
  <si>
    <t>km-panel van</t>
  </si>
  <si>
    <t>hour-panel van</t>
  </si>
  <si>
    <t>km-test vehicle</t>
  </si>
  <si>
    <t>hour-test vehicle</t>
  </si>
  <si>
    <t>hour-compressor</t>
  </si>
  <si>
    <t>stand-compressor</t>
  </si>
  <si>
    <t>hour-artisan assistant</t>
  </si>
  <si>
    <t>hour-meter assistant</t>
  </si>
  <si>
    <t>Connection Fee</t>
  </si>
  <si>
    <t>Energy rate</t>
  </si>
  <si>
    <t>Levy for electricity consumed</t>
  </si>
  <si>
    <t>LABOUR (for preparation of meter box)</t>
  </si>
  <si>
    <t>LABOUR (for the installation and removal of the connection)</t>
  </si>
  <si>
    <t>DIVERSE</t>
  </si>
  <si>
    <t>MATERIAL (None)</t>
  </si>
  <si>
    <t>TRANSPORT (None)</t>
  </si>
  <si>
    <t>Disconnection of supply because of being in arrears with payment of consumption</t>
  </si>
  <si>
    <t xml:space="preserve">     1Phase (per 24 hour period)</t>
  </si>
  <si>
    <t>Hiring of equipment</t>
  </si>
  <si>
    <t xml:space="preserve">     3Phase (per 24 hour period)</t>
  </si>
  <si>
    <t>hour-accountant</t>
  </si>
  <si>
    <t>hour-accountant official</t>
  </si>
  <si>
    <t>ADMINISTRATION COSTS</t>
  </si>
  <si>
    <t>Photostats</t>
  </si>
  <si>
    <t>Photo's</t>
  </si>
  <si>
    <t>Telephone costs</t>
  </si>
  <si>
    <t>PROPOSED</t>
  </si>
  <si>
    <t>REVENUE</t>
  </si>
  <si>
    <t>SERVICE</t>
  </si>
  <si>
    <t>TARIFF</t>
  </si>
  <si>
    <t>VOTE</t>
  </si>
  <si>
    <t>NUMBER</t>
  </si>
  <si>
    <t>(Excl.vat)</t>
  </si>
  <si>
    <t xml:space="preserve">  </t>
  </si>
  <si>
    <t>These power supply points will be given only where</t>
  </si>
  <si>
    <t>infrastructure already exists.  In all other instances cost estimates</t>
  </si>
  <si>
    <t>will be quoted on request</t>
  </si>
  <si>
    <t>%</t>
  </si>
  <si>
    <t>INCREASE</t>
  </si>
  <si>
    <t>Tender No.</t>
  </si>
  <si>
    <t>NQ</t>
  </si>
  <si>
    <t>(Unforeseen)</t>
  </si>
  <si>
    <t>3m Pole for rural box</t>
  </si>
  <si>
    <t xml:space="preserve">hour-eng asst </t>
  </si>
  <si>
    <t xml:space="preserve">hour-artisan </t>
  </si>
  <si>
    <t>SPB1 Pole box</t>
  </si>
  <si>
    <t>NETWORK CONTRIBUTIONS FOR INSTALLATIONS &amp; CONNECTIONS</t>
  </si>
  <si>
    <t>per kVA</t>
  </si>
  <si>
    <t>Pole mounted meter box - 2way</t>
  </si>
  <si>
    <t>Maximum</t>
  </si>
  <si>
    <t xml:space="preserve">1.1  Single phase overhead connection with Split Pre-payment meter taken from overhead network   - No Ready board   </t>
  </si>
  <si>
    <t>x 80 A circuit breaker (5kA) - Orange</t>
  </si>
  <si>
    <t>Connection fee determined through cost estimate</t>
  </si>
  <si>
    <t xml:space="preserve">      Overhead transmission system &amp; substations</t>
  </si>
  <si>
    <t>The cost of any of the connection alternatives may be subsidized by way of a levy on energy tariffs</t>
  </si>
  <si>
    <t xml:space="preserve">provided that a pre-payment meter is opted for and the connection will be the first made on the premises </t>
  </si>
  <si>
    <t>******  COST ESTIMATE SHALL BE PROVIDED, ON REQUEST, FOR SERVICES NOT LISTED ******</t>
  </si>
  <si>
    <t>OTHER SERVICE CHARGES</t>
  </si>
  <si>
    <t>ALL SERVICES ABOVE R10'000.00 CAN BE PAID OFF BY PAYING THE AMOUNT FOR THE</t>
  </si>
  <si>
    <t>PAYING OFF OF THE RECOVERABLE COSTS.</t>
  </si>
  <si>
    <t>VAT</t>
  </si>
  <si>
    <t>1. NEW SINGLE PHASE CONNECTIONS: URBAN</t>
  </si>
  <si>
    <t>** The above will not apply to any levies charged for tampering or outstanding accounts.</t>
  </si>
  <si>
    <t>Pipe: PVC 150mm x 3m (Cable protection)</t>
  </si>
  <si>
    <t>25 mm bend</t>
  </si>
  <si>
    <t>75 mm Bolt and nut : (M10)</t>
  </si>
  <si>
    <t>ESKOM - HOMEPOWER 4</t>
  </si>
  <si>
    <t>Service Charge</t>
  </si>
  <si>
    <t>Network Charge</t>
  </si>
  <si>
    <t>BACKBONE</t>
  </si>
  <si>
    <t>(ADMD - kVA)</t>
  </si>
  <si>
    <t>Primary Backbone - Urban</t>
  </si>
  <si>
    <t>Secondary Backbone - MV Urban</t>
  </si>
  <si>
    <t>Secondary Backbone - LV Urban</t>
  </si>
  <si>
    <t>LV Backbone -Urban</t>
  </si>
  <si>
    <t>Primary Backbone - Peri Urban</t>
  </si>
  <si>
    <t>Secondary Backbone - MV Peri Urban</t>
  </si>
  <si>
    <t>Secondary Backbone - LV Peri Urban</t>
  </si>
  <si>
    <t>Four way domestic meter box</t>
  </si>
  <si>
    <t>0.15kW x 12 hours x 30 days x tariff</t>
  </si>
  <si>
    <t xml:space="preserve">CENTLEC </t>
  </si>
  <si>
    <t>Finance</t>
  </si>
  <si>
    <t>NON-RECOVERABLE COSTS AND OPENING AN ACCOUNT AT THE FINANCE DIRECTORATE FOR THE</t>
  </si>
  <si>
    <t>9. SPECIAL SERVICE LEVIES</t>
  </si>
  <si>
    <t>9.1.1 Electricity meter accuracy test at request by the consumer - Removal of meter</t>
  </si>
  <si>
    <t>9.1.2 Request for accuracy test of electricity meter - Testing of meter (1 or 3 phase)</t>
  </si>
  <si>
    <t>9.1.3 Request for accuracy test of Bulk electricity meter - Testing of meter</t>
  </si>
  <si>
    <t>9.7 Replacement of 1phase pre-payment meter due to tampering - blocking of vending</t>
  </si>
  <si>
    <t>9.8 Replacement of 3phase pre-payment meter due to tampering - blocking of vending</t>
  </si>
  <si>
    <t>9.10 Charges when tampering with metering equipment - Bulk consumer (TB)</t>
  </si>
  <si>
    <t>TOTAL</t>
  </si>
  <si>
    <t>(Inc VAT)</t>
  </si>
  <si>
    <t xml:space="preserve">and that a grant is received from National Funds or funding is received from Council. </t>
  </si>
  <si>
    <t xml:space="preserve">       Meter to be removed by supplier for testing. Testing of the meter under item 9.1.2 or 9.1.3</t>
  </si>
  <si>
    <t xml:space="preserve">      Meter to be removed under item 9.1.1</t>
  </si>
  <si>
    <t>Cable clamp (Clampex) - K26</t>
  </si>
  <si>
    <t>25 mm PVC pipe - 4m lenghts</t>
  </si>
  <si>
    <t>Pigtail bolt - M16</t>
  </si>
  <si>
    <t>Corporate</t>
  </si>
  <si>
    <t>ELECTRICITY SERVICES COSTS:</t>
  </si>
  <si>
    <t>CENTLEC : ELECTRICITY SERVICES COSTS</t>
  </si>
  <si>
    <t>CD13-11A2</t>
  </si>
  <si>
    <t>CD13-11A4</t>
  </si>
  <si>
    <t>CD13-11A8</t>
  </si>
  <si>
    <t>CD21-4H</t>
  </si>
  <si>
    <t>CD13-1.1</t>
  </si>
  <si>
    <t>CD13-1.5</t>
  </si>
  <si>
    <t>CD13-1.6</t>
  </si>
  <si>
    <t>CD13-1.2</t>
  </si>
  <si>
    <t>CD13-2B</t>
  </si>
  <si>
    <t>CD13 - 2E</t>
  </si>
  <si>
    <t>CD13-4A</t>
  </si>
  <si>
    <t>CD13-4B</t>
  </si>
  <si>
    <t>CD13-6B</t>
  </si>
  <si>
    <t>CD13-6M</t>
  </si>
  <si>
    <t>CD13-6N</t>
  </si>
  <si>
    <t>CD13-12B</t>
  </si>
  <si>
    <t>CD13-3</t>
  </si>
  <si>
    <t>CD21-31A(i)</t>
  </si>
  <si>
    <t>CD21-8A(i)</t>
  </si>
  <si>
    <t>CD21-3A</t>
  </si>
  <si>
    <t>CD21-8B(i)a</t>
  </si>
  <si>
    <t>CD21-31A(ii)</t>
  </si>
  <si>
    <t>CD21-8B(i)b</t>
  </si>
  <si>
    <t>CD21-7B(x)</t>
  </si>
  <si>
    <t>CD 45</t>
  </si>
  <si>
    <t>CD21-17A</t>
  </si>
  <si>
    <t>CD21-17B</t>
  </si>
  <si>
    <t>CD21-7c(ii)</t>
  </si>
  <si>
    <t>CD45</t>
  </si>
  <si>
    <t>CD20-2A</t>
  </si>
  <si>
    <t>CD20-2D</t>
  </si>
  <si>
    <t>CD20-2F</t>
  </si>
  <si>
    <t>CD20-8B</t>
  </si>
  <si>
    <t>CD20-9A</t>
  </si>
  <si>
    <t>Cable termination 16mm x 4 core PVC</t>
  </si>
  <si>
    <t>CD20-29B</t>
  </si>
  <si>
    <t>CD20-29D</t>
  </si>
  <si>
    <t>CD20-30C</t>
  </si>
  <si>
    <t>CD20-15B</t>
  </si>
  <si>
    <t>Gland (Pratley No1)</t>
  </si>
  <si>
    <t>Gland (Pratley No2)</t>
  </si>
  <si>
    <t>CD?</t>
  </si>
  <si>
    <t>CD20-15C</t>
  </si>
  <si>
    <t>(proposed)</t>
  </si>
  <si>
    <t>NETWORK CONTRIBUTIONS FOR INSTALLATIONS  &amp; CONNECTIONS</t>
  </si>
  <si>
    <t>URBAN - LV</t>
  </si>
  <si>
    <t>URBAN - MV</t>
  </si>
  <si>
    <t>PERI-URBAN - LV</t>
  </si>
  <si>
    <t>PERI-URBAN - MV</t>
  </si>
  <si>
    <t>8.1.11 Shifting of meter to meter box on stand boundary - Domestic connection - Urban</t>
  </si>
  <si>
    <t>8.1.12 Shifting of connection - Pre-payment with ready board (per single connection) - Overhead only</t>
  </si>
  <si>
    <t>5KVA</t>
  </si>
  <si>
    <t>R/KVA</t>
  </si>
  <si>
    <t>Installation cost - Refer 1.4</t>
  </si>
  <si>
    <t>Peri-Urban network contribution</t>
  </si>
  <si>
    <t>Urban network contribution</t>
  </si>
  <si>
    <t>Actual estimated cost</t>
  </si>
  <si>
    <t xml:space="preserve">4.5  Subdivision -  Peri-Urban area: </t>
  </si>
  <si>
    <t>CENTLEC - HOMELIGHT 3</t>
  </si>
  <si>
    <t>Job description</t>
  </si>
  <si>
    <t>Group</t>
  </si>
  <si>
    <t>Benefits</t>
  </si>
  <si>
    <t>Cost per hour</t>
  </si>
  <si>
    <t>General worker</t>
  </si>
  <si>
    <t>^016</t>
  </si>
  <si>
    <t>Snr Eng Asst</t>
  </si>
  <si>
    <t>Team leader</t>
  </si>
  <si>
    <t>^013/011</t>
  </si>
  <si>
    <t>^010</t>
  </si>
  <si>
    <t>Artisan / metering assistant</t>
  </si>
  <si>
    <t>Covered by Gov Grant</t>
  </si>
  <si>
    <t>Network Contribution LV - Urban (Mangaung)</t>
  </si>
  <si>
    <t>Network Contribution LV - Urban (Regional)</t>
  </si>
  <si>
    <t>Network Contribution MV - Urban (Mangaung)</t>
  </si>
  <si>
    <t>Network Contribution MV - Urban (Regional)</t>
  </si>
  <si>
    <t>Network Contribution LV - Peri-Urban (Mangaung)</t>
  </si>
  <si>
    <t>Network Contribution LV - Peri-Urban (Regional)</t>
  </si>
  <si>
    <t>Network Contribution MV - Peri-Urban (Mangaung)</t>
  </si>
  <si>
    <t>Network Contribution MV - Peri-Urban (Regional)</t>
  </si>
  <si>
    <t>Prepaid meter (Split) 1 phase 59A Unique Mbani</t>
  </si>
  <si>
    <t xml:space="preserve">Prepaid meter (Split) 3 phase - </t>
  </si>
  <si>
    <t>Modum for TOU meter</t>
  </si>
  <si>
    <t>s</t>
  </si>
  <si>
    <t>[Mangaung]</t>
  </si>
  <si>
    <t>[Regional]</t>
  </si>
  <si>
    <t xml:space="preserve">2.2 Three phase connection (80A) in meter box,  Time of use (TOU) meter                                               </t>
  </si>
  <si>
    <t xml:space="preserve"> [Mangaung]</t>
  </si>
  <si>
    <t>2. NEW THREE PHASE DOMESTIC CONNECTIONS: URBAN</t>
  </si>
  <si>
    <t>3. NEW SINGLE PHASE DOMESTIC CONNECTIONS: PERI-URBAN</t>
  </si>
  <si>
    <t xml:space="preserve">2.1 Three phase domestic connection (80A) in meter box,  Time of use (TOU) meter    </t>
  </si>
  <si>
    <t>Urban area</t>
  </si>
  <si>
    <t>Urban Area</t>
  </si>
  <si>
    <t>Peri Urban Area</t>
  </si>
  <si>
    <t xml:space="preserve">  [Mangaung - peri urban area]</t>
  </si>
  <si>
    <t>[Regional - peri urban area]</t>
  </si>
  <si>
    <t>[Urban]</t>
  </si>
  <si>
    <t>[Mangaung - Urban area]</t>
  </si>
  <si>
    <t>b. Reinstatement of supply (60Amp 3phase meter)</t>
  </si>
  <si>
    <t>a. Investigation, gathering of evidence and possible court appearance</t>
  </si>
  <si>
    <t>b. Reinstatement of supply (Bulk meter)</t>
  </si>
  <si>
    <t>DAMAGE TO CENTLEC CABLES, OVER HEAD LINES AND OTHER EQUIPMENT</t>
  </si>
  <si>
    <t>9.13  Excavations within public areas leading to damage to electricity cables, including attempts of theft</t>
  </si>
  <si>
    <t xml:space="preserve"> Estimated cost of material, Labour, Transport          plus 10%</t>
  </si>
  <si>
    <t>9.14  In the case of damage to a low voltage cable or line installation, or any part of the installation</t>
  </si>
  <si>
    <t>R20 000.00 per cable plus additional cost incurred of material, labour and transport plus 10%</t>
  </si>
  <si>
    <t>R40 000.00 per cable plus additional cost incurred of material, labour and transport plus 10%</t>
  </si>
  <si>
    <t>R80 000.00 per cable plus additional cost incurred of material, labour and transport plus 10%</t>
  </si>
  <si>
    <t>Note : In cases where the excavation occurred without authorization, or where the provisions of the wayleave policy were not followed, Centlec / Council reserves the right to institute further steps</t>
  </si>
  <si>
    <t>9.20. Delivery of notice of intended disconnection where a customer has failed to pay his/her account on the due date</t>
  </si>
  <si>
    <r>
      <t xml:space="preserve">9.15  Cost for damaging any 11kV cable </t>
    </r>
    <r>
      <rPr>
        <b/>
        <sz val="12"/>
        <rFont val="Times New Roman"/>
        <family val="1"/>
      </rPr>
      <t/>
    </r>
  </si>
  <si>
    <t>(as was approved)</t>
  </si>
  <si>
    <t>Only applicable to Dept of Energy funded  electrification areas -</t>
  </si>
  <si>
    <t>Actual estimated cost plus network contribution for 5kVA</t>
  </si>
  <si>
    <t>(new meter scheme)</t>
  </si>
  <si>
    <t>Credit Control Fees will be levied as per debt collectors charges</t>
  </si>
  <si>
    <t>Disconnection and Reconnection Fees</t>
  </si>
  <si>
    <t>Residential</t>
  </si>
  <si>
    <t>Business</t>
  </si>
  <si>
    <t>Bulk</t>
  </si>
  <si>
    <t xml:space="preserve">Procurements Documents </t>
  </si>
  <si>
    <t>Tenders - R200 000 - R10mil)</t>
  </si>
  <si>
    <t>Tenders - (more than R10mil)</t>
  </si>
  <si>
    <t>NB* ALL DEPOSITS WILL BE ADJUSTED AUTOMATICALLY SHOULD CONSUMPTION CHARGES BE FOUND TO BE MORE THAN THE DEPOSIT HELD TO COVER THE RISK</t>
  </si>
  <si>
    <t>NB* BULK DEPOSITS ARE VARIABLE DUE TO RECOMMENDATIONS FROM ENGINEERING DEPARTMENT</t>
  </si>
  <si>
    <t>DEPOSIT FOR ENERGY ACCOUNT - Energy account deposit according to connection size.</t>
  </si>
  <si>
    <t>Tariff per application</t>
  </si>
  <si>
    <t>Still to be revised</t>
  </si>
  <si>
    <t>Initial deposit for energy accounts</t>
  </si>
  <si>
    <t>NB All deposits will be adjusted automatically should consumption charges be found to be more than the deposit held to cover the risk</t>
  </si>
  <si>
    <t>NB Bulk deposits are veriable due to recommendations from engineering departmenet</t>
  </si>
  <si>
    <t>2016/2017</t>
  </si>
  <si>
    <t>CD 4/2014</t>
  </si>
  <si>
    <t>excavate 0.6m wide 0.6m deep</t>
  </si>
  <si>
    <t>excavate 0.6m wide and 1m deep</t>
  </si>
  <si>
    <t>backfil</t>
  </si>
  <si>
    <t>sleeves</t>
  </si>
  <si>
    <t>Tape</t>
  </si>
  <si>
    <t>draw cable</t>
  </si>
  <si>
    <t>/meter</t>
  </si>
  <si>
    <t>m</t>
  </si>
  <si>
    <t>rock cross 12m</t>
  </si>
  <si>
    <t>Tar &amp; Tile</t>
  </si>
  <si>
    <t>Clean up of site</t>
  </si>
  <si>
    <t>Subtotal</t>
  </si>
  <si>
    <t>Sub total</t>
  </si>
  <si>
    <t>Total cost for 100m</t>
  </si>
  <si>
    <t>Urban</t>
  </si>
  <si>
    <t xml:space="preserve"> Tariff IV: FLAT RATE BUSINESS TARIFF - COST PER UNIT</t>
  </si>
  <si>
    <t>Peri-Urban</t>
  </si>
  <si>
    <t>CD ??</t>
  </si>
  <si>
    <t>Proposed</t>
  </si>
  <si>
    <t>Escalated % per annum</t>
  </si>
  <si>
    <t>Calculated Basis</t>
  </si>
  <si>
    <t>Basic Notch</t>
  </si>
  <si>
    <t>Total Cost</t>
  </si>
  <si>
    <t>Accounting clerk /Apprentice</t>
  </si>
  <si>
    <t>P.S Benefits = Basic X 45%</t>
  </si>
  <si>
    <t>Benefits ( Bonus,Home Allowance,Pensions,Medical Aid</t>
  </si>
  <si>
    <t>40h x 52 weeks / 12 mnths = 173.3 h per mnth</t>
  </si>
  <si>
    <r>
      <t xml:space="preserve">Cost per hour( </t>
    </r>
    <r>
      <rPr>
        <sz val="18"/>
        <color indexed="10"/>
        <rFont val="Arial Narrow"/>
        <family val="2"/>
      </rPr>
      <t>Total cost</t>
    </r>
    <r>
      <rPr>
        <sz val="10"/>
        <color indexed="10"/>
        <rFont val="Arial Narrow"/>
        <family val="2"/>
      </rPr>
      <t>/ 12 months/</t>
    </r>
    <r>
      <rPr>
        <sz val="16"/>
        <color indexed="10"/>
        <rFont val="Arial Narrow"/>
        <family val="2"/>
      </rPr>
      <t>173.3</t>
    </r>
    <r>
      <rPr>
        <sz val="10"/>
        <color indexed="10"/>
        <rFont val="Arial Narrow"/>
        <family val="2"/>
      </rPr>
      <t xml:space="preserve"> hours per month)</t>
    </r>
  </si>
  <si>
    <t>CD13-</t>
  </si>
  <si>
    <t>to a max of</t>
  </si>
  <si>
    <t xml:space="preserve">to a max of </t>
  </si>
  <si>
    <t>METER: TIME OF USE 100 AMP</t>
  </si>
  <si>
    <t>Stores levy</t>
  </si>
  <si>
    <t>BACKBONE COST</t>
  </si>
  <si>
    <t xml:space="preserve">        damaged or persistent tampering (PPD 3phase)</t>
  </si>
  <si>
    <t>MATERIAL (No cost charged for material that can be re-used)</t>
  </si>
  <si>
    <t>EXISTING</t>
  </si>
  <si>
    <t>TARIFFS</t>
  </si>
  <si>
    <t>9.21 Clearance Certificate Tariff</t>
  </si>
  <si>
    <t>9.22 WAYLEAVES - for construcion and excavation work.</t>
  </si>
  <si>
    <t>9.23 Notice Fees</t>
  </si>
  <si>
    <t>9.24 Residential - Disconnection and Reconnection Fees - Office hours</t>
  </si>
  <si>
    <t>9.25 Residential - Disconnection and Reconnection Fees - After Hours rate (N+33%)</t>
  </si>
  <si>
    <t>9.26 Business - Disconnection and Reconnection Fees - Office hours</t>
  </si>
  <si>
    <t>9.27 Business - Disconnection and Reconnection Fees - After Hours rate (N+33%)</t>
  </si>
  <si>
    <t>9.28 Bulk connections - Disconnection and Reconnection Fees - Office hours</t>
  </si>
  <si>
    <t>9.29 Bulk connections - Disconnection and Reconnection Fees - After Hours rate (N+33%)</t>
  </si>
  <si>
    <t>Area</t>
  </si>
  <si>
    <t xml:space="preserve"> applicable</t>
  </si>
  <si>
    <t xml:space="preserve">ELECTRICAL SERVICE TARIFFS </t>
  </si>
  <si>
    <t>OTHER SERVICE</t>
  </si>
  <si>
    <t xml:space="preserve">7.2 Temporary connection for a special events - These temporary connections would only be permitted for MMM approved special short term events and it would be removed afterwards - Maximum duration is 12 months. </t>
  </si>
  <si>
    <t>DIVERSE  (no charge)</t>
  </si>
  <si>
    <t>DIVERSE (No charge)</t>
  </si>
  <si>
    <t>TRANSPORT (No Charge)</t>
  </si>
  <si>
    <t>LABOUR (for the installation and removal of the connection) (No charge)</t>
  </si>
  <si>
    <t>LABOUR (for preparation of meter box) (No Charge)</t>
  </si>
  <si>
    <t>Pole: 7M wooden</t>
  </si>
  <si>
    <t>Staywire set</t>
  </si>
  <si>
    <t>Mangaung</t>
  </si>
  <si>
    <t>Regional</t>
  </si>
  <si>
    <t>R100 000.00 per cable plus additional cost incurred of material, labour and transport plus 10%</t>
  </si>
  <si>
    <t>R22 000.00 per cable plus additional cost incurred of material, labour and transport plus 10%</t>
  </si>
  <si>
    <t>R10 900 plus the estimated cost of material, Labour, Transport plus 10%</t>
  </si>
  <si>
    <r>
      <t xml:space="preserve">9.17  Cost for damaging any 33kV PILC/XLPE cable </t>
    </r>
    <r>
      <rPr>
        <b/>
        <sz val="12"/>
        <rFont val="Times New Roman"/>
        <family val="1"/>
      </rPr>
      <t/>
    </r>
  </si>
  <si>
    <r>
      <t xml:space="preserve">9.18  Cost for damaging any 132kV PILC/XLPE cable </t>
    </r>
    <r>
      <rPr>
        <b/>
        <sz val="12"/>
        <rFont val="Times New Roman"/>
        <family val="1"/>
      </rPr>
      <t/>
    </r>
  </si>
  <si>
    <t>Max + CPI</t>
  </si>
  <si>
    <t>Quotations - Standard service tariffs - 10% of the estimated cost to a maximum of --</t>
  </si>
  <si>
    <t>CPI</t>
  </si>
  <si>
    <t>Ave CPI+2%</t>
  </si>
  <si>
    <t>Quotations - Bulk connections and other services  - 10% of the estimated cost to a maximum of --</t>
  </si>
  <si>
    <t>Escalated by</t>
  </si>
  <si>
    <t>Administration Levy (Indirect Cost)</t>
  </si>
  <si>
    <t>Description</t>
  </si>
  <si>
    <t>2015/2016 Percentages</t>
  </si>
  <si>
    <t>2016/2017 Original Budget (Rand)</t>
  </si>
  <si>
    <t>2016/2017 Percentages</t>
  </si>
  <si>
    <t>Total operating expenditure for Engineering Wires</t>
  </si>
  <si>
    <t>Direct costs</t>
  </si>
  <si>
    <t>Indirect costs</t>
  </si>
  <si>
    <t>Conclusion</t>
  </si>
  <si>
    <t>Note: The difference in the percentage of indirect costs to direct costs between the two financial periods (27% for 2015/2016 and 57% for 2016/2017) is because 2015/2016 percenatge is based on actual results for the financial year while the 2016/2017 percentage is based on the original budget which is an estimate and  generally tends to be revised downwards.</t>
  </si>
  <si>
    <r>
      <t xml:space="preserve">As an estimate, when setting service tariffs, about </t>
    </r>
    <r>
      <rPr>
        <b/>
        <sz val="11"/>
        <color rgb="FFFF0000"/>
        <rFont val="Calibri"/>
        <family val="2"/>
        <scheme val="minor"/>
      </rPr>
      <t>57%</t>
    </r>
    <r>
      <rPr>
        <sz val="10"/>
        <rFont val="Arial"/>
        <family val="2"/>
      </rPr>
      <t xml:space="preserve"> (33,832,324 / 60,044,334) of direct costs should be added to recoup indirect costs</t>
    </r>
  </si>
  <si>
    <t>?????</t>
  </si>
  <si>
    <t>TOU kWh meter - 80- 120Amp 220/240V</t>
  </si>
  <si>
    <t>9.2.4 Reinstatement of supply following disconnection of service by CENTLEC  - 3 Phase pre-payment meter damaged or persistent tampering (PPD 3phase)</t>
  </si>
  <si>
    <t>9.5 Use of measuring instruments to record current and voltage fluctuations at the request of the consumer     1Phase (per 24 hour period)</t>
  </si>
  <si>
    <t>9.6 Use of measuring instruments to record current and voltage fluctuations at the request of the consumer  3Phase (per 24 hour period)</t>
  </si>
  <si>
    <t>Gobodo</t>
  </si>
  <si>
    <t>Driver Name</t>
  </si>
  <si>
    <t>Cost Centre Name</t>
  </si>
  <si>
    <t>Cost Item</t>
  </si>
  <si>
    <t>Unit Qty</t>
  </si>
  <si>
    <t>Amount</t>
  </si>
  <si>
    <t>km</t>
  </si>
  <si>
    <t>Rand</t>
  </si>
  <si>
    <t>Ave Rand/Km</t>
  </si>
  <si>
    <t>CONNECTION</t>
  </si>
  <si>
    <t>FUEL</t>
  </si>
  <si>
    <t>The table shows how the  fuel consumption of a sample of connection vehicles varies from R0.147/km to R11.83/km. As a result of this wide variation, reliance cannot be placed on the data from the fleet management unit, hence running costs per the Automobile Association (AA) will be used to determine the transporting costs incurred during service connections. The table below shows the figures from AA:</t>
  </si>
  <si>
    <t>Fixed</t>
  </si>
  <si>
    <t>Maintenance</t>
  </si>
  <si>
    <t>Running</t>
  </si>
  <si>
    <t>Fuel</t>
  </si>
  <si>
    <t>ITEM</t>
  </si>
  <si>
    <t>Price</t>
  </si>
  <si>
    <t>Cost</t>
  </si>
  <si>
    <t>TRANSPORT RATES</t>
  </si>
  <si>
    <t>3-5Ton truck + hydraulic eq. (R/km)</t>
  </si>
  <si>
    <t>Standing time</t>
  </si>
  <si>
    <t>6-9Ton truck + hydraulic eq. (R/km)</t>
  </si>
  <si>
    <t>Standing time (R/hr)</t>
  </si>
  <si>
    <t>&gt; 9Ton truck + hydraulic eq. (R/km)</t>
  </si>
  <si>
    <t>LDV Vehicles. (R/km)</t>
  </si>
  <si>
    <t>From the table, variable running costs per km is R28.57(16.77+11.80)</t>
  </si>
  <si>
    <t>Standing time per hour is R147.5 (82.50+65.00)</t>
  </si>
  <si>
    <t>9.2.1.2 Fine for tampring: Normal 1Ph meter for multiple residential use (cottages, room rental or backrooms)</t>
  </si>
  <si>
    <t>9.2.1.1 Fine for tampring: Normal 1Ph meter for single residential use</t>
  </si>
  <si>
    <t>9.2.2.1 Fine for tampring: Normal 3Ph meter for single residential use</t>
  </si>
  <si>
    <t>9.2.2.2 Fine for tampring: Normal 3Ph meter for multiple residential use (cottages, room rental or backrooms)</t>
  </si>
  <si>
    <t>9.2.3.1 Fine for tampring: Normal 1Ph meter for single residential use</t>
  </si>
  <si>
    <t>9.2.3.2 Fine for tampring: Normal 1Ph meter for multiple residential use (cottages, room rental or backrooms)</t>
  </si>
  <si>
    <t>9.9.1 Charges when tampering with metering equipment - Small (commercial supply 60A - 1phase) consumer (TC)</t>
  </si>
  <si>
    <t>9.9.2 Charges when tampering with metering equipment - Small (commercial supply 3x60A - 3phase) consumer (TC)</t>
  </si>
  <si>
    <t xml:space="preserve">9.9.1.1 Fine for tampering: Normal 1Ph meter for business (including formal student housing and guest houses) </t>
  </si>
  <si>
    <t xml:space="preserve">9.9.2.1 Fine for tampering: Normal 3Ph meter for business (including formal student housing and guest houses) (TC) </t>
  </si>
  <si>
    <t>9.12 Levy for all refunds will be 26,6% of the quoted value</t>
  </si>
  <si>
    <t>9.10.1 Fine for tampering: Bulk Consumers &lt;= 300kVA (TB)</t>
  </si>
  <si>
    <t>9.10.2 Fine for tampering: Bulk Consumers &gt;300kVA(TB)</t>
  </si>
  <si>
    <t>9.2.4.1 Fine for tampering: Normal 3Ph meter for single residential use</t>
  </si>
  <si>
    <t>9.2.4.2 Fine for tampering: Normal 3Ph meter for multiple residential use (cottages, room rental or backrooms)</t>
  </si>
  <si>
    <t xml:space="preserve">9.11 Replacement of the keypad units </t>
  </si>
  <si>
    <t>b. Reinstatement of supply (60Amp 1phase meter)</t>
  </si>
  <si>
    <t>Estimate connection size</t>
  </si>
  <si>
    <t>kVA</t>
  </si>
  <si>
    <t>Res IBT  &lt;80A</t>
  </si>
  <si>
    <t>&lt;</t>
  </si>
  <si>
    <t>Total kVA Charge</t>
  </si>
  <si>
    <t>(R/kVA)</t>
  </si>
  <si>
    <t>Total Energy Charge</t>
  </si>
  <si>
    <t>(average c/kWh)</t>
  </si>
  <si>
    <t>One Month Estimated Account</t>
  </si>
  <si>
    <t>Avarage Demand use (ADMD)</t>
  </si>
  <si>
    <t>Calculated Monthly Consumption</t>
  </si>
  <si>
    <t>Fine = Calculated monthly consumption x</t>
  </si>
  <si>
    <t>Avarage Demand use (70% LF)</t>
  </si>
  <si>
    <t>Flat Business Tariff IV &lt;80A</t>
  </si>
  <si>
    <t>(c/kWh)</t>
  </si>
  <si>
    <t>Elecflex III - LV from miniature substations</t>
  </si>
  <si>
    <r>
      <t xml:space="preserve">9.3 Reinstatement of supply by  Finance Directorate </t>
    </r>
    <r>
      <rPr>
        <sz val="10"/>
        <color rgb="FFFF0000"/>
        <rFont val="Arial"/>
        <family val="2"/>
      </rPr>
      <t>(no motor cycles)</t>
    </r>
  </si>
  <si>
    <t>2020/2021</t>
  </si>
  <si>
    <t>Energy Tariffs</t>
  </si>
  <si>
    <t>Residential IBT</t>
  </si>
  <si>
    <t>Annual increase</t>
  </si>
  <si>
    <t>Rounded off to</t>
  </si>
  <si>
    <t>KVA</t>
  </si>
  <si>
    <t>Energy</t>
  </si>
  <si>
    <t>Service charge</t>
  </si>
  <si>
    <t>Units</t>
  </si>
  <si>
    <t>Tariff</t>
  </si>
  <si>
    <t>VAT @</t>
  </si>
  <si>
    <t>R10 900
plus the estimated cost of material, Labour, Transport plus 10%</t>
  </si>
  <si>
    <t>Key Pad for PP meter</t>
  </si>
  <si>
    <t>???</t>
  </si>
  <si>
    <t>÷</t>
  </si>
  <si>
    <t>Proposed Tariffs</t>
  </si>
  <si>
    <t>N/A</t>
  </si>
  <si>
    <r>
      <t xml:space="preserve">CENTLEC : ELECTRICITY SERVICES COSTS FOR </t>
    </r>
    <r>
      <rPr>
        <b/>
        <sz val="12"/>
        <color rgb="FFFF0000"/>
        <rFont val="Arial"/>
        <family val="2"/>
      </rPr>
      <t>MANTSOPA MUNIC</t>
    </r>
  </si>
  <si>
    <r>
      <t xml:space="preserve">CENTLEC : ELECTRICITY SERVICES COSTS FOR </t>
    </r>
    <r>
      <rPr>
        <b/>
        <sz val="12"/>
        <color rgb="FFFF0000"/>
        <rFont val="Arial"/>
        <family val="2"/>
      </rPr>
      <t>MOHOKARE MUNIC</t>
    </r>
  </si>
  <si>
    <r>
      <t xml:space="preserve">CENTLEC : ELECTRICITY SERVICES COSTS FOR </t>
    </r>
    <r>
      <rPr>
        <b/>
        <sz val="12"/>
        <color rgb="FFFF0000"/>
        <rFont val="Arial"/>
        <family val="2"/>
      </rPr>
      <t>MANGAUNG METRO</t>
    </r>
  </si>
  <si>
    <t>2021/2022</t>
  </si>
  <si>
    <t>NIS</t>
  </si>
  <si>
    <t>Bandit strap per metre  - 19mm (price per rol of 30m)</t>
  </si>
  <si>
    <t>Bandit buckle - 19mm (per pkt of 100)</t>
  </si>
  <si>
    <t>Highest price- Store + CPI or prev price</t>
  </si>
  <si>
    <t>CPI+2%</t>
  </si>
  <si>
    <t xml:space="preserve">1.2  Single phase overhead connection with Split Pre-payment meter taken from overhead network   - With Ready board   </t>
  </si>
  <si>
    <t>Actual estimated cost plus network contribution for 7.5kVA</t>
  </si>
  <si>
    <t>4. NEW THREE PHASE DOMESTIC CONNECTIONS: PERI-URBAN</t>
  </si>
  <si>
    <t>add with under ground network (Flisp)</t>
  </si>
  <si>
    <t>1.4  New connection (Permanent) for Church/ Creche with NPO certificate &amp; Proof of Title deeds paper registered with Church/Creche:  Single phase Split Prepaid  meter</t>
  </si>
  <si>
    <t>1.5  Single phase domestic connection in meter box placed on stand boundary taken from underground cable network (connection to an erf, where the development costs has been paid) -</t>
  </si>
  <si>
    <t xml:space="preserve">    1.5.2 Connection in meter box, Single phase Split pre-payment meter</t>
  </si>
  <si>
    <t xml:space="preserve">1.7  Subdivision  (Domestic) -  Urban area: </t>
  </si>
  <si>
    <t xml:space="preserve">    1.7.1 Subdivision Urban Area:  A new Single Phase Split pre-payment meter for domestic connection </t>
  </si>
  <si>
    <t>9.1.4 Hiring of Genset</t>
  </si>
  <si>
    <t>https://tradingeconomics.com/south-africa/inflation-cpi</t>
  </si>
  <si>
    <r>
      <t xml:space="preserve">CENTLEC : ELECTRICITY SERVICES COSTS FOR </t>
    </r>
    <r>
      <rPr>
        <b/>
        <sz val="12"/>
        <color rgb="FFFF0000"/>
        <rFont val="Arial"/>
        <family val="2"/>
      </rPr>
      <t>KOPANONG MUNIC</t>
    </r>
  </si>
  <si>
    <t>Ripple relay - 2x40Amp (Not in stock)</t>
  </si>
  <si>
    <t>Ready board only</t>
  </si>
  <si>
    <t>Current transformers for LV metering (Not sure)</t>
  </si>
  <si>
    <t>Staywire set (51600324 NIS)</t>
  </si>
  <si>
    <r>
      <t>As an estimate, when setting service tariffs, about 10</t>
    </r>
    <r>
      <rPr>
        <b/>
        <sz val="11"/>
        <color rgb="FFFF0000"/>
        <rFont val="Calibri"/>
        <family val="2"/>
        <scheme val="minor"/>
      </rPr>
      <t>%</t>
    </r>
    <r>
      <rPr>
        <sz val="10"/>
        <rFont val="Arial"/>
        <family val="2"/>
      </rPr>
      <t xml:space="preserve"> (24,614,467 / 92,316,214) of direct costs should be added to recoup indirect costs</t>
    </r>
  </si>
  <si>
    <t>2020/2021 Actual Results (Rand)</t>
  </si>
  <si>
    <t xml:space="preserve">METER: COMB KWH/KVA </t>
  </si>
  <si>
    <t xml:space="preserve"> Rural household meter box</t>
  </si>
  <si>
    <t>Accountant/ Chief Eng Asst</t>
  </si>
  <si>
    <t>^005</t>
  </si>
  <si>
    <t>CD45 - 2020/2021</t>
  </si>
  <si>
    <t>9.5 Fine for tampring RMD 1 Ph: Normal 1Ph meter for single residential use</t>
  </si>
  <si>
    <t>9.6 Fine for tampring RMD 1Ph: Normal 1Ph meter for multiple residential use (cottages, room rental or backrooms)</t>
  </si>
  <si>
    <t xml:space="preserve">9.7 Reinstatement of supply following disconnection of Std 3 phase service -  Where meter was damaged or persistant tampering occurred (RMD 3 Ph) - Replaced with 100A Time of Use meter (TOU) </t>
  </si>
  <si>
    <t>9.7.1 Fine for tampring RMD 3ph: Normal 3Ph meter for single residential use</t>
  </si>
  <si>
    <t>9.7.2 Fine for tampring RMD 3Ph: Normal 3Ph meter for multiple residential use (cottages, room rental or backrooms)</t>
  </si>
  <si>
    <t>9.8. Illigal Shifting of Meter</t>
  </si>
  <si>
    <t>9.9 Reinstatement of supply following disconnection of service by CENTLEC - 1Phase pre-payment meter damaged or persistent tampering (PPD)</t>
  </si>
  <si>
    <t>9.9.1 Fine for tampring PPD: Normal 1Ph Prepaid meter for single residential use</t>
  </si>
  <si>
    <t>9.9.2 Fine for tampring PPD: Normal 1Ph Prepaid meter for multiple residential use (cottages, room rental or backrooms)</t>
  </si>
  <si>
    <t>9.10 Reinstatement of supply following disconnection of service by CENTLEC  - 3 Phase pre-payment meter</t>
  </si>
  <si>
    <t>9.10.1 Fine for tampring PPD: Normal 3Ph Prepaid meter for single residential use</t>
  </si>
  <si>
    <t>9.10.2 Fine for tampring PPD: Normal 3Ph Prepaid meter for multiple residential use (cottages, room rental or backrooms)</t>
  </si>
  <si>
    <t>9.11 Reinstatement of supply by  Centlec (SOC) Ltd</t>
  </si>
  <si>
    <t>9.12 Reinstatement of supply by CENTLEC - Where supplied from overhead transmission systems or a substation</t>
  </si>
  <si>
    <t>9.13 Use of measuring instruments to record current and voltage fluctuations at the request of the consumer</t>
  </si>
  <si>
    <t>9.14 Use of measuring instruments to record current and voltage fluctuations at the request of the consumer</t>
  </si>
  <si>
    <t>9.15 Replacement of 1phase pre-payment meter due to tampering - blocking of vending</t>
  </si>
  <si>
    <t>9.16 Replacement of 3phase pre-payment meter due to tampering - blocking of vending</t>
  </si>
  <si>
    <t>9.16.1 Charges when tampering with metering equipment - Small (commercial supply 60A - 1phase) consumer (TC)</t>
  </si>
  <si>
    <t>9.16.1.1 Fine for tampering TC: Normal 1Ph meter for business (including formal student housing and guest houses)</t>
  </si>
  <si>
    <t>9.16.2 Charges when tampering with metering equipment - Small (commercial supply 60A - 3phase) consumer (TC)</t>
  </si>
  <si>
    <t>9.16.2.1 Fine for tampering: Normal 3Ph meter for business (including formal student housing and guest houses) (TC)</t>
  </si>
  <si>
    <t>9.17 Charges when tampering with metering equipment - Bulk consumer (TB)</t>
  </si>
  <si>
    <t>9.18 Fine for tampering: Bulk Consumers &lt;= 300kVA (TB)</t>
  </si>
  <si>
    <t>9.18.1 Fine for tampering: Bulk Consumers &gt;300kVA(TB)</t>
  </si>
  <si>
    <t>10. Rotating disk meter replaced - 1phase (RMR) with Prepayment meter</t>
  </si>
  <si>
    <t>11.  Excavations within public areas leading to damage to electricity cables, including attempts of theft</t>
  </si>
  <si>
    <t>12.  In the case of damage to a low voltage cable or line installation, or any part of the installation</t>
  </si>
  <si>
    <r>
      <t xml:space="preserve">13.  Cost for damaging any 11kV cable </t>
    </r>
    <r>
      <rPr>
        <b/>
        <sz val="12"/>
        <rFont val="Times New Roman"/>
        <family val="1"/>
      </rPr>
      <t/>
    </r>
  </si>
  <si>
    <r>
      <t xml:space="preserve">14.  Cost for damaging any 33kV PILC/XLPE cable </t>
    </r>
    <r>
      <rPr>
        <b/>
        <sz val="12"/>
        <rFont val="Times New Roman"/>
        <family val="1"/>
      </rPr>
      <t/>
    </r>
  </si>
  <si>
    <r>
      <t xml:space="preserve">15.  Cost for damaging any 132kV PILC/XLPE cable </t>
    </r>
    <r>
      <rPr>
        <b/>
        <sz val="12"/>
        <rFont val="Times New Roman"/>
        <family val="1"/>
      </rPr>
      <t/>
    </r>
  </si>
  <si>
    <t xml:space="preserve">1.3  Single phase underground/ovehead connection with Split Pre-payment meter taken from underground/overhead network (Flisp Housing)  - With Ready board   </t>
  </si>
  <si>
    <t xml:space="preserve">    1.5.1 Connection in meter box, Single Phase Time of Use kWh meter</t>
  </si>
  <si>
    <t>1.6 Single phase Pre-payment meters for areas that are fully subsidised. (Grants from different departments, e.g USDG, etc)</t>
  </si>
  <si>
    <t>1.8 Additional Meters:  New 1ph  Split pre-paid meter connection- limited up to 500kVA, LV per Erf. Cost estimates will be compiled based on the quantiry of meters required and Network contribution will be levied as per ruling R/kVA.</t>
  </si>
  <si>
    <t>Three phase connection in meter box placed on stand boundary taken from underground cable network.</t>
  </si>
  <si>
    <t>Three phase domestic connection in meter box placed on stand boundary taken from underground cable network.</t>
  </si>
  <si>
    <t xml:space="preserve">2.3 Three phase domestic connection in meter box, Split pre-payment meter </t>
  </si>
  <si>
    <t>2.4 Three phase domestic connection in meter box, Split pre-payment meter.</t>
  </si>
  <si>
    <t xml:space="preserve">4.1 New Three phase 80A/ph 25kVA domestic connection  in meter box with Time of use (TOU) meter in Mangaung - Peri urban                                              </t>
  </si>
  <si>
    <t xml:space="preserve">4.2 New Three phase 80A/ph domestic connection in meter box with Time of use (TOU) meter in Regional.                                                                                      </t>
  </si>
  <si>
    <t xml:space="preserve">Three phase domestic connection in meterbox, where an 11kV line exists or has to be extended up to 350m.                                           </t>
  </si>
  <si>
    <t xml:space="preserve">4.3  New Three phase Peri-Urban domestic connection - Pre-payment meter (80A per phase)                                                    </t>
  </si>
  <si>
    <t xml:space="preserve">4.4 Three phase Peri-Urban domestic connection - Pre- payment meter (80A per phase)                                                    </t>
  </si>
  <si>
    <t xml:space="preserve">    4.5.1  Subdivision Pri Urban Area:  New Single Phase Split pre-payment meter connection in existing 11kV overhead line or  where 11kV overhead line needs to be exteded up to 350m.</t>
  </si>
  <si>
    <t xml:space="preserve">    4.5.2 Subdivision Peri Urban Area:  New Three Split pre-payment meter connection on the stand boundary, where 11kV overhead line needs to be exteded up to 350m at ADMD = 7,5KVA</t>
  </si>
  <si>
    <t>5.  ILLUMINATING SIGNS</t>
  </si>
  <si>
    <t>Example</t>
  </si>
  <si>
    <t xml:space="preserve">The initial installation costs will be estimated in accordance to the current material &amp; labour costs. The consumption will be based on approved energy tarrif (winter &amp; summer) which will be calculated according to the total consumption.  </t>
  </si>
  <si>
    <t xml:space="preserve">6. TEMPORARY CONNECTIONS - MAXIMUM PERIOD OF 12 MONTHS </t>
  </si>
  <si>
    <r>
      <t xml:space="preserve">6.1 Temporary builders underground connection - </t>
    </r>
    <r>
      <rPr>
        <sz val="10"/>
        <rFont val="Times New Roman"/>
        <family val="1"/>
      </rPr>
      <t>Three phase 80 Ampère Prepaid meter only.  Please note: These connections would only be permitted  for a maximum period of 12 months after which it will be removed by CENTLEC. (Where a trench is not longer than 12m)</t>
    </r>
  </si>
  <si>
    <t>6.2.1 Temporary connection for a special event - Single phase 80Ampère P/P with over head Airdac - Church Crusades, Social, Cultural and community events, temporary creches, police stations, etc.</t>
  </si>
  <si>
    <t>6.2.2 Temporary connection for a special event - Three phase 80Ampère P/P- Church Crusades, Social, Cultural and community events, temporary creches, police stations, Car wash ect (where a trench is not longer than 12m)</t>
  </si>
  <si>
    <r>
      <t xml:space="preserve">6.2 Temporary connection for a special events - </t>
    </r>
    <r>
      <rPr>
        <sz val="10"/>
        <rFont val="Times New Roman"/>
        <family val="1"/>
      </rPr>
      <t xml:space="preserve">These temporary connections would only be permitted for MMM approved special short term events and it would be removed afterwards - </t>
    </r>
    <r>
      <rPr>
        <b/>
        <sz val="10"/>
        <rFont val="Times New Roman"/>
        <family val="1"/>
      </rPr>
      <t>Maximum duration is 3 months</t>
    </r>
    <r>
      <rPr>
        <sz val="10"/>
        <rFont val="Times New Roman"/>
        <family val="1"/>
      </rPr>
      <t xml:space="preserve">. </t>
    </r>
  </si>
  <si>
    <r>
      <t xml:space="preserve">6.2.3 Temporary connection for a special event - Three phase 80Ampère P/P- Car wash etc </t>
    </r>
    <r>
      <rPr>
        <b/>
        <sz val="10"/>
        <rFont val="Times New Roman"/>
        <family val="1"/>
      </rPr>
      <t>(Subsidised sites)</t>
    </r>
  </si>
  <si>
    <t xml:space="preserve">MATERIAL </t>
  </si>
  <si>
    <t>7. ALTERATIONS TO ELECTRICITY SERVICES</t>
  </si>
  <si>
    <t>7.1.1 Conversion of a single register meter to Single phase Pre-payment where meterbox exist on erf boundary - ( No charge for Prepayment  meter)</t>
  </si>
  <si>
    <t>7.1.2 Conversion of Three phase (TOU/kWH) connection to Prepayment meter - Existing meterbox on erf boundary</t>
  </si>
  <si>
    <t xml:space="preserve">7.1.3 Upgrade of single phase Urban connection to three phase - Time of Use Meter(TOU)            </t>
  </si>
  <si>
    <t xml:space="preserve">7.1.4 Upgrade of single phase Urban connection to three phase - Split pre-payment meter             </t>
  </si>
  <si>
    <t xml:space="preserve">8.1.5 Upgrading of single phase Urban connection to three phase - Time of Use Meter(TOU)            </t>
  </si>
  <si>
    <t xml:space="preserve">7.1.6 Upgrade of single phase Urban connection to three phase - Split pre-payment meter            </t>
  </si>
  <si>
    <t xml:space="preserve">7.1.7 Upgrade of single phase Peri-Urban connection to three phase -Time of Use Meter(TOU)  </t>
  </si>
  <si>
    <t xml:space="preserve">7.1.8 Upgrade of single phase Peri-Urban connection to three phase -Split pre-payment meter    </t>
  </si>
  <si>
    <t xml:space="preserve">7.1.9 Upgrade of single phase Peri-Urban connection to three phase -Time of Use Meter(TOU)  </t>
  </si>
  <si>
    <t xml:space="preserve">7.1.10 Conversion of single phase Peri-Urban connection to three phase - Split pre-payment meter      </t>
  </si>
  <si>
    <t xml:space="preserve">hour-Eng asst </t>
  </si>
  <si>
    <t>hour-First Eng Assistant</t>
  </si>
  <si>
    <t>hour-Snr Eng Assistant</t>
  </si>
  <si>
    <t>hour-Chief Eng Assistant</t>
  </si>
  <si>
    <t>hour-Electrician</t>
  </si>
  <si>
    <t>hour-Team Leader</t>
  </si>
  <si>
    <t>hour-General Worker</t>
  </si>
  <si>
    <t>^015</t>
  </si>
  <si>
    <t>Trade Worker Gr I//II//II//IV</t>
  </si>
  <si>
    <t>^015//09/3</t>
  </si>
  <si>
    <t>Jnr // Electrician//Snr//Asst Sup</t>
  </si>
  <si>
    <t>^09/07</t>
  </si>
  <si>
    <t>^007</t>
  </si>
  <si>
    <t>Hours</t>
  </si>
  <si>
    <t>Personnel</t>
  </si>
  <si>
    <t xml:space="preserve">FUEL </t>
  </si>
  <si>
    <t>@2000L (Diesel @R16,375</t>
  </si>
  <si>
    <t>Trench by Internal Resources</t>
  </si>
  <si>
    <t>Cost per meter</t>
  </si>
  <si>
    <t>m trench 0.6 m deep (Contractor)</t>
  </si>
  <si>
    <t>m trench 1m deep (Contractor)</t>
  </si>
  <si>
    <t>m Paving &amp; Tar repair (contractor)</t>
  </si>
  <si>
    <t>m trench 0.6 m deep, Dig &amp; Backfill (Internal)</t>
  </si>
  <si>
    <t>per meter</t>
  </si>
  <si>
    <t>Internal</t>
  </si>
  <si>
    <t>Detaild</t>
  </si>
  <si>
    <t>m Additional rock per sqm (Internal)</t>
  </si>
  <si>
    <t>Escavation</t>
  </si>
  <si>
    <t>Rock p/sqm</t>
  </si>
  <si>
    <t xml:space="preserve">  [Regional - peri urban area]</t>
  </si>
  <si>
    <t xml:space="preserve">  [Regional - Urban area]</t>
  </si>
  <si>
    <t>2022/2023</t>
  </si>
  <si>
    <t>2023/2024</t>
  </si>
  <si>
    <t>2024/2025</t>
  </si>
  <si>
    <r>
      <t>61800630/61800614/62300359</t>
    </r>
    <r>
      <rPr>
        <b/>
        <sz val="10"/>
        <color rgb="FFFF0000"/>
        <rFont val="Arial"/>
        <family val="2"/>
      </rPr>
      <t>/50900367/51600324/81800614/82300388</t>
    </r>
  </si>
  <si>
    <t>Eng Asst</t>
  </si>
  <si>
    <t>^008</t>
  </si>
  <si>
    <t>^06</t>
  </si>
  <si>
    <t>First Eng Asst</t>
  </si>
  <si>
    <t>Fleet Number</t>
  </si>
  <si>
    <t>8124</t>
  </si>
  <si>
    <t>Mogami</t>
  </si>
  <si>
    <t>Truck</t>
  </si>
  <si>
    <t>8301</t>
  </si>
  <si>
    <t>Makae</t>
  </si>
  <si>
    <t>8157</t>
  </si>
  <si>
    <t>Planning</t>
  </si>
  <si>
    <t>Navara</t>
  </si>
  <si>
    <t>8300</t>
  </si>
  <si>
    <t>Oliphant</t>
  </si>
  <si>
    <t>8464</t>
  </si>
  <si>
    <t>8815</t>
  </si>
  <si>
    <t>Masoabi</t>
  </si>
  <si>
    <t>8818</t>
  </si>
  <si>
    <t>Botha</t>
  </si>
  <si>
    <t>Ford</t>
  </si>
  <si>
    <t>8720</t>
  </si>
  <si>
    <t>Tsoali</t>
  </si>
  <si>
    <t>Nissan</t>
  </si>
  <si>
    <t>Togoe</t>
  </si>
  <si>
    <t>8153</t>
  </si>
  <si>
    <t>8830</t>
  </si>
  <si>
    <t>Digging Team</t>
  </si>
  <si>
    <t>Micro Bus</t>
  </si>
  <si>
    <t>8421</t>
  </si>
  <si>
    <t>Makhele</t>
  </si>
  <si>
    <t>Crane Truck</t>
  </si>
  <si>
    <t>8774</t>
  </si>
  <si>
    <t>Motshabi</t>
  </si>
  <si>
    <t>Caddy</t>
  </si>
  <si>
    <t>LABOUR TARIFFS 1 July 2021 - 30 June 2022</t>
  </si>
  <si>
    <t>Make</t>
  </si>
  <si>
    <t>Per Stores prices Feb 28+ CPI</t>
  </si>
  <si>
    <t>2025/2026</t>
  </si>
  <si>
    <t>METER:S/P WIRED PRE-PAID</t>
  </si>
  <si>
    <t>Comments</t>
  </si>
  <si>
    <t>These power supply points will be given only where infrastructure already exists.  In all other instances cost estimates will be quoted on request</t>
  </si>
  <si>
    <t>****COST ESTIMATE SHALL BE PROVIDED, ON REQUEST, FOR SERVICES NOT LISTED ****</t>
  </si>
  <si>
    <t xml:space="preserve">6.2 Temporary connection for a special events - These temporary connections would only be permitted for MMM approved special short term events and it would be removed afterwards - Maximum duration is 12 months. </t>
  </si>
  <si>
    <t>R11 412 plus the estimated cost of material, Labour, Transport plus 10%</t>
  </si>
  <si>
    <t>R23 034 per cable plus additional cost incurred of material, labour and transport plus 10%</t>
  </si>
  <si>
    <t>R83 760 per cable plus additional cost incurred of material, labour and transport plus 10%</t>
  </si>
  <si>
    <t>R104 700 per cable plus additional cost incurred of material, labour and transport plus 10%</t>
  </si>
  <si>
    <t>Material</t>
  </si>
  <si>
    <t>Labour</t>
  </si>
  <si>
    <t>Transport</t>
  </si>
  <si>
    <t>Went up</t>
  </si>
  <si>
    <t>Correction of kVA demand went down</t>
  </si>
  <si>
    <t>Went down</t>
  </si>
  <si>
    <t xml:space="preserve">    1.9 New SSEG Single Phase Time of Use kWh meter</t>
  </si>
  <si>
    <t>2.5 SSEG Three phase connection in meter box placed on stand boundary taken from underground cable network.</t>
  </si>
  <si>
    <t xml:space="preserve"> [Mangaung Urban area]</t>
  </si>
  <si>
    <t>2.6 SSEG Three phase domestic connection in meter box placed on stand boundary taken from underground cable network.</t>
  </si>
  <si>
    <t>3.1 Single phase Peri-Urban domestic connection with TOU kWh meter.  Supplied by 25kVA single phase transformer (80A) from 11kV overhead line   (where an 11kV line exists and is within the first 350m)</t>
  </si>
  <si>
    <t>3.3  Additional  Meters Peri-Urban Area:  1x 1ph  Split pre-paid meter connection- limited up to 200kVA, LV per Erf. If more than one (1) meter is reuested, a cost estimate will be done.</t>
  </si>
  <si>
    <t>3.2 Single phase Peri-Urban domestic connection - Prepayment meter. - Supplied by 25kVA single phase Trfr (80A) from 11kV overhead line   (where an 11kV line exists and is within the first 350m)</t>
  </si>
  <si>
    <t>RESIDENTIAL &amp; NPO ELECTRICITY SERVICES COSTS:</t>
  </si>
  <si>
    <t>2.5 Three phase domestic connection in meter box, Split pre-payment meter (Connection to an erf, where the development costs has NOT been paid)</t>
  </si>
  <si>
    <t>2.6 Three phase domestic connection in meter box, Split pre-payment meter. (Connection to an erf, where the development costs has NOT been paid)</t>
  </si>
  <si>
    <t xml:space="preserve">  [Mangaung - Urban]</t>
  </si>
  <si>
    <t>2. NEW THREE PHASE DOMESTIC CONNECTIONS</t>
  </si>
  <si>
    <t xml:space="preserve">2.4 SSEG Three phase domestic connection (80A) in meter box,  Time of use (TOU) meter :  Connection in meter box placed on stand boundary taken from (Connection to an erf, where the development costs has NOT been paid).                                    </t>
  </si>
  <si>
    <t>2.3 SSEG Three phase domestic connection (80A) in meter box,  Time of use (TOU) meter :  Connection in meter box placed on stand boundary . (Connection to an erf, where the development costs has NOT been paid).</t>
  </si>
  <si>
    <t xml:space="preserve">2.2 Three phase domestic connection (80A) in meter box,  Time of use (TOU) meter :  Connection in meter box placed on stand boundary  (Connection to an erf, where the development costs has NOT been paid) .                                 </t>
  </si>
  <si>
    <t>2.1 Three phase domestic connection (80A) in meter box,  Time of use (TOU) meter :  Connection in meter box placed on stand boundary (Connection to an erf, where the development costs has NOT been paid).</t>
  </si>
  <si>
    <t>2.7 Three phase domestic connection (80A) in meter box,  Time of use (TOU) meter :  Connection in meter box placed on stand boundary (Connection to an erf, where the development costs has been paid [5kVA]).</t>
  </si>
  <si>
    <t xml:space="preserve">2.8 Three phase domestic connection (80A) in meter box,  Time of use (TOU) meter :  Connection in meter box placed on stand boundary  (Connection to an erf, where the development costs has been paid [5kVA]).                                 </t>
  </si>
  <si>
    <t>2.9 SSEG Three phase domestic connection (80A) in meter box,  Time of use (TOU) meter :  Connection in meter box placed on stand boundary . (Connection to an erf, where the development costs has been paid [5kVA]).</t>
  </si>
  <si>
    <t xml:space="preserve">2.10 SSEG Three phase domestic connection (80A) in meter box,  Time of use (TOU) meter :  Connection in meter box placed on stand boundary taken from (Connection to an erf, where the development costs has been paid [5kVA]).                                    </t>
  </si>
  <si>
    <t>2.11 Three phase domestic connection in meter box, Split pre-payment meter (Connection to an erf, where the development costs has been paid [5kVA]).</t>
  </si>
  <si>
    <t>2.12 Three phase domestic connection in meter box, Split pre-payment meter. (Connection to an erf, where the development costs has been paid [5kVA]).</t>
  </si>
  <si>
    <t xml:space="preserve">1. NEW CONNECTIONS: </t>
  </si>
  <si>
    <t>1.5  Single phase domestic connection in meter box placed on stand boundary taken from underground cable network (Connection to an erf, where the development costs has been paid) -</t>
  </si>
  <si>
    <t xml:space="preserve">  [Peri - urban area]</t>
  </si>
  <si>
    <t xml:space="preserve">  [Urban area]</t>
  </si>
  <si>
    <t>Peri/Urban area</t>
  </si>
  <si>
    <t>2.14  Additional  Meters Peri-Urban Area:  1x 3ph  Split pre-paid meter connection- limited up to 200kVA, LV per Erf. If more than one (1) meter is required, a cost estimate will be done.</t>
  </si>
  <si>
    <t xml:space="preserve">  [Regional -  Urban area]</t>
  </si>
  <si>
    <t xml:space="preserve"> [Mangaung - Urban]</t>
  </si>
  <si>
    <t xml:space="preserve">  [Regional - Urban]</t>
  </si>
  <si>
    <t xml:space="preserve"> [Mangaung - Peri urban]</t>
  </si>
  <si>
    <t xml:space="preserve">  [Regional - Peri urban]</t>
  </si>
  <si>
    <t xml:space="preserve">  [Regional -  Peri urban area]</t>
  </si>
  <si>
    <t xml:space="preserve">  [Mangaung - Peri urban]</t>
  </si>
  <si>
    <t>2.13  Additional  Meters Urban Area:  1x 3ph  Split pre-paid meter connection- limited up to 500kVA, LV per Erf. If more than one (1) meter is required, a cost estimate will be done.</t>
  </si>
  <si>
    <t xml:space="preserve">  [Mangaung - peri urban]</t>
  </si>
  <si>
    <t xml:space="preserve">  [Regional - peri urban]</t>
  </si>
  <si>
    <t>1.7.3  Subdivision Pri Urban Area:  New Single Phase Split pre-payment meter connection in existing 11kV overhead line or  where 11kV overhead line needs to be exteded up to 350m.</t>
  </si>
  <si>
    <t xml:space="preserve"> 1.7.4 Subdivision Peri Urban Area:  New Three Split pre-payment meter connection on the stand boundary, where 11kV overhead line needs to be exteded up to 350m at ADMD = 7,5KVA</t>
  </si>
  <si>
    <t xml:space="preserve">3. TEMPORARY CONNECTIONS - MAXIMUM PERIOD OF 12 MONTHS </t>
  </si>
  <si>
    <r>
      <t xml:space="preserve">3.1 Temporary BUILDERS underground connection - </t>
    </r>
    <r>
      <rPr>
        <sz val="10"/>
        <rFont val="Times New Roman"/>
        <family val="1"/>
      </rPr>
      <t>Three phase 80 Ampère Prepaid meter only.  Please note: These connections would only be permitted  for a maximum period of 12 months after which it will be removed by CENTLEC. (Where a trench is not longer than 12m)</t>
    </r>
  </si>
  <si>
    <r>
      <t xml:space="preserve">3.2 Temporary connection for a special events - </t>
    </r>
    <r>
      <rPr>
        <sz val="10"/>
        <rFont val="Times New Roman"/>
        <family val="1"/>
      </rPr>
      <t xml:space="preserve">These temporary connections would only be permitted for Municipality approved special short term events and it would be removed afterwards </t>
    </r>
  </si>
  <si>
    <r>
      <t xml:space="preserve">3.2.2 Temporary connection for a special event - Three phase 80Ampère P/P with over head Airdac. Applicable where NO meter box is required -  Social, Cultural and community events.  </t>
    </r>
    <r>
      <rPr>
        <b/>
        <sz val="10"/>
        <rFont val="Times New Roman"/>
        <family val="1"/>
      </rPr>
      <t>- Maximum 5 days Only. (Permit letter be attached from Municipality)</t>
    </r>
  </si>
  <si>
    <r>
      <t xml:space="preserve">3.2.1 Temporary connection for a special event - Single phase 80Ampère P/P with over head Airdac. Applicable where NO meter box is required -  Social, Cultural and community events. </t>
    </r>
    <r>
      <rPr>
        <b/>
        <sz val="10"/>
        <rFont val="Times New Roman"/>
        <family val="1"/>
      </rPr>
      <t>- Maximum 5 days Only. (Permit letter be attached from Municipality)</t>
    </r>
  </si>
  <si>
    <t>4. Upgrade Residential</t>
  </si>
  <si>
    <t xml:space="preserve">4.1 Upgrade of single phase Urban connection to three phase - Time of Use Meter(TOU)            </t>
  </si>
  <si>
    <t xml:space="preserve">4.3 Upgrading of single phase Urban connection to three phase - Time of Use Meter(TOU)            </t>
  </si>
  <si>
    <t>[Regional - Urban]</t>
  </si>
  <si>
    <t>[Mangaung - Urban]</t>
  </si>
  <si>
    <t xml:space="preserve">4.2 Upgrade of single phase Urban connection to three phase - Split pre-payment meter             </t>
  </si>
  <si>
    <t xml:space="preserve">4.4 Upgrade of single phase Urban connection to three phase - Split pre-payment meter            </t>
  </si>
  <si>
    <r>
      <t>[Regional - U</t>
    </r>
    <r>
      <rPr>
        <b/>
        <u/>
        <sz val="10"/>
        <rFont val="Times New Roman"/>
        <family val="1"/>
      </rPr>
      <t>rban</t>
    </r>
    <r>
      <rPr>
        <b/>
        <sz val="10"/>
        <rFont val="Times New Roman"/>
        <family val="1"/>
      </rPr>
      <t>]</t>
    </r>
  </si>
  <si>
    <t xml:space="preserve">4.5 Upgrade of single phase Peri-Urban connection to three phase -Time of Use Meter(TOU)  </t>
  </si>
  <si>
    <t>[Mangaung - Peri urban]</t>
  </si>
  <si>
    <t xml:space="preserve">4.6 Upgrade of single phase Peri-Urban connection to three phase -Split pre-payment meter    </t>
  </si>
  <si>
    <t xml:space="preserve">4.7 Upgrade of single phase Peri-Urban connection to three phase -Time of Use Meter(TOU)  </t>
  </si>
  <si>
    <t>[Regional - Peri urban]</t>
  </si>
  <si>
    <t xml:space="preserve">4.8 Conversion of single phase Peri-Urban connection to three phase - Split pre-payment meter      </t>
  </si>
  <si>
    <t>Other Services</t>
  </si>
  <si>
    <t>2,2kW x 12 hours x 30 days x tariff</t>
  </si>
  <si>
    <t>Installation cost - Refer 1.5.2</t>
  </si>
  <si>
    <t xml:space="preserve">6. Shifting </t>
  </si>
  <si>
    <t>6.1 Shifting of meter to meter box on stand boundary - Domestic connection - Urban</t>
  </si>
  <si>
    <t>6.2 Shifting of connection - Pre-payment with ready board (per single connection) - Overhead only</t>
  </si>
  <si>
    <t>7. Hiring of Genset</t>
  </si>
  <si>
    <t>With 2000L (Diesel @R21,99)</t>
  </si>
  <si>
    <t>8. Conversion of a Meters</t>
  </si>
  <si>
    <t>8.1 Conversion of a single register meter to Single phase Pre-payment where meterbox exist on erf boundary - ( No charge for Prepayment  meter)</t>
  </si>
  <si>
    <t>8.2 Conversion of Three phase (TOU/kWH) connection to Prepayment meter - Existing meterbox on erf boundary</t>
  </si>
  <si>
    <t>9.  Excavations within public areas leading to damage to electricity cables, including attempts of theft</t>
  </si>
  <si>
    <t>10.  In the case of damage to a low voltage cable or line installation, or any part of the installation</t>
  </si>
  <si>
    <t xml:space="preserve">11.  Cost for damaging any 11kV cable </t>
  </si>
  <si>
    <t xml:space="preserve">13.  Cost for damaging any 33kV PILC/XLPE cable </t>
  </si>
  <si>
    <t xml:space="preserve">14.  Cost for damaging any 132kV PILC/XLPE cable </t>
  </si>
  <si>
    <t>(Incl.vat)</t>
  </si>
  <si>
    <t xml:space="preserve">1.7  Subdivision  (Domestic): </t>
  </si>
  <si>
    <t xml:space="preserve">    1.7.2  Subdivision Pri Urban Area:  New Single Phase Split pre-payment meter connection in existing 11kV overhead line or  where 11kV overhead line needs to be    exteded up to 350m.</t>
  </si>
  <si>
    <t>1.8  SSEG Single Phase Time of Use kWh meter (Connection to an erf, where the development costs has been paid)</t>
  </si>
  <si>
    <t>1.9 Single phase Peri-Urban domestic connection with TOU kWh meter.  Supplied by 25kVA single phase transformer (80A) from 11kV overhead line   (where an 11kV line exists and is within the first 350m)</t>
  </si>
  <si>
    <t>1.10 Single phase Peri-Urban domestic connection - Prepayment meter. - Supplied by 25kVA single phase Trfr (80A) from 11kV overhead line   (where an 11kV line exists and is within the first 350m)</t>
  </si>
  <si>
    <t>1.11  Additional  Meters Peri-Urban Area:  1x 1ph  Split pre-paid meter connection- limited up to 200kVA, LV per Erf. If more than one (1) meter is reuested, a cost estimate will be done.</t>
  </si>
  <si>
    <t>1.12  Additional  Meters Urban Area:  1x 1ph  Split pre-paid meter connection- limited up to 500kVA, LV per Erf. If more than one (1) meter is reuested, a cost estimate will be done.</t>
  </si>
  <si>
    <t>2.15 Three phase domestic connection (80A) in meter box,  Time of use (TOU) meter :  Connection in meter box placed on stand boundary (Connection to an erf, where the development costs has NOT been paid).</t>
  </si>
  <si>
    <t xml:space="preserve">2.16 Three phase domestic connection (80A) in meter box,  Time of use (TOU) meter :  Connection in meter box placed on stand boundary  (Connection to an erf, where the development costs has NOT been paid) .                                 </t>
  </si>
  <si>
    <t>2.17 SSEG Three phase domestic connection (80A) in meter box,  Time of use (TOU) meter :  Connection in meter box placed on stand boundary . (Connection to an erf, where the development costs has NOT been paid).</t>
  </si>
  <si>
    <t xml:space="preserve">2.18 SSEG Three phase domestic connection (80A) in meter box,  Time of use (TOU) meter :  Connection in meter box placed on stand boundary taken from (Connection to an erf, where the development costs has NOT been paid).                                    </t>
  </si>
  <si>
    <t>2.19 Three phase domestic connection in meter box, Split pre-payment meter (Connection to an erf, where the development costs has NOT been paid)</t>
  </si>
  <si>
    <t>2.20 Three phase domestic connection in meter box, Split pre-payment meter. (Connection to an erf, where the development costs has NOT been paid)</t>
  </si>
  <si>
    <t>2.21 Three phase domestic connection (80A) in meter box,  Time of use (TOU) meter :  Connection in meter box placed on stand boundary (Connection to an erf, where the development costs has been paid [5kVA]).</t>
  </si>
  <si>
    <t xml:space="preserve">2.22 Three phase domestic connection (80A) in meter box,  Time of use (TOU) meter :  Connection in meter box placed on stand boundary  (Connection to an erf, where the development costs has been paid [5kVA]).                                 </t>
  </si>
  <si>
    <t>2.23 SSEG Three phase domestic connection (80A) in meter box,  Time of use (TOU) meter :  Connection in meter box placed on stand boundary . (Connection to an erf, where the development costs has been paid [5kVA]).</t>
  </si>
  <si>
    <t xml:space="preserve">2.24 SSEG Three phase domestic connection (80A) in meter box,  Time of use (TOU) meter :  Connection in meter box placed on stand boundary taken from (Connection to an erf, where the development costs has been paid [5kVA]).                                    </t>
  </si>
  <si>
    <t>2.25 Three phase domestic connection in meter box, Split pre-payment meter (Connection to an erf, where the development costs has been paid [5kVA]).</t>
  </si>
  <si>
    <t>2.26 Three phase domestic connection in meter box, Split pre-payment meter. (Connection to an erf, where the development costs has been paid [5kVA]).</t>
  </si>
  <si>
    <r>
      <t xml:space="preserve">3.3 Temporary connection for a special event - Single phase 80Ampère P/P- Temporary Church , temporary creches, temporary Car wash ect (where a trench is not longer than 12m) - </t>
    </r>
    <r>
      <rPr>
        <b/>
        <sz val="10"/>
        <rFont val="Times New Roman"/>
        <family val="1"/>
      </rPr>
      <t>Maximum 12 months Only. (Permit letter be attached from Municipality and only Subsidised Areas)</t>
    </r>
  </si>
  <si>
    <r>
      <t xml:space="preserve">3.4 Temporary connection for a special event - Three phase 80Ampère </t>
    </r>
    <r>
      <rPr>
        <b/>
        <sz val="10"/>
        <rFont val="Times New Roman"/>
        <family val="1"/>
      </rPr>
      <t>(Subsidised Areas) Temporary connection for a special event - Single phase 80Ampère P/P- Temporary Church , temporary creches, temporary Car wash ect (where a trench is not longer than 12m) - Maximum 12 months Only. (Permit letter be attached from Municipality)</t>
    </r>
  </si>
  <si>
    <t>For 30 days consumptions</t>
  </si>
  <si>
    <t>2026/2027</t>
  </si>
  <si>
    <t>2027/2028</t>
  </si>
  <si>
    <t>As received from HR 21 Feb 2024</t>
  </si>
  <si>
    <t>2028/2029</t>
  </si>
  <si>
    <t>2029/2030</t>
  </si>
  <si>
    <t>15. REVENUE PROTECTION QUOTATIONS AND FINES</t>
  </si>
  <si>
    <t>15.1 Residential Fine for Tampering and re-instatement of supply</t>
  </si>
  <si>
    <t xml:space="preserve">15.1.1 PR1 - Residential 1 Ph (Prepaid and Rotational) </t>
  </si>
  <si>
    <t>15.1.2 PR1A - Residential 1ph (AMR meter 150A and smaller connection)</t>
  </si>
  <si>
    <t>15.1.3 PR3 - Residential 3 Ph (Prepaid and Rotational)</t>
  </si>
  <si>
    <t>15.1.4 PR3A - 1PR3 - Residential 3 Ph (AMR meter 150A and smaller connection)</t>
  </si>
  <si>
    <t>15.2 Business Fine for Tampering and re-instatement of supply</t>
  </si>
  <si>
    <t>15.2.1 PB1 - Business 1 Ph (Prepaid and Rotational)</t>
  </si>
  <si>
    <t>15.2.3 PB1A - Business 1 Ph (AMR meter 150A and smaller connection)</t>
  </si>
  <si>
    <t>15.2.4 PB3 - Business 3 Ph (Prepaid and Rotational)</t>
  </si>
  <si>
    <t>15.2.6 PB3A - Business 3 Ph (AMR meter 150A and smaller connection)</t>
  </si>
  <si>
    <t>15.3  Bulk Consumers (Above 150A) for Tampering and re-instatement of supply</t>
  </si>
  <si>
    <t>15.3.1 TB300 - Bulk Consumers with connection size larger the 150A up to and including 300kVA</t>
  </si>
  <si>
    <t>15.3.2 TB300+ - Bulk Consumers with connection size larger than 300kVA</t>
  </si>
  <si>
    <t>15.4 General Fines and Quotations</t>
  </si>
  <si>
    <t>15.4.1 Key - Keypad replacement where damage was caused on consumer side</t>
  </si>
  <si>
    <t>15.4.2 DAMM - Quotation for meter damaged/stolen where meter is inside the boundaries of client property</t>
  </si>
  <si>
    <t>15.4.3 ILLS - Illegal shifting of connection from original point of installation</t>
  </si>
  <si>
    <t>15.5 Fines for Persistent tampering</t>
  </si>
  <si>
    <t>15.5.1  PR1 - First persistent tamper after issuing of initial quotation</t>
  </si>
  <si>
    <t>15.5.2 PR1 - Second persistent tamper after issuing of first persistent tamper</t>
  </si>
  <si>
    <t>15.5.3  PR1A - First persistent tamper after issuing of initial quotation</t>
  </si>
  <si>
    <t>15.5.4 PR1A - Second persistent tamper after issuing of first persistent tamper</t>
  </si>
  <si>
    <t>15.5.5  PR3 - First persistent tamper after issuing of initial quotation</t>
  </si>
  <si>
    <t>15.5.6 PR3 - Second persistent tamper after issuing of first persistent tamper</t>
  </si>
  <si>
    <t>15.5.7  PR3A - First persistent tamper after issuing of initial quotation</t>
  </si>
  <si>
    <t>15.5.8 PR3A - Second persistent tamper after issuing of first persistent tamper</t>
  </si>
  <si>
    <t>15.5.9  PB1 - First persistent tamper after issuing of initial quotation</t>
  </si>
  <si>
    <t>15.5.10 PB1 - Second persistent tamper after issuing of first persistent tamper</t>
  </si>
  <si>
    <t>15.5.11  PB1A - First persistent tamper after issuing of initial quotation</t>
  </si>
  <si>
    <t>15.5.12 PB1A - Second persistent tamper after issuing of first persistent tamper</t>
  </si>
  <si>
    <t>15.5.13  PB1G - First persistent tamper after issuing of initial quotation</t>
  </si>
  <si>
    <t>15.5.14 PB1G - Second persistent tamper after issuing of first persistent tamper</t>
  </si>
  <si>
    <t>15.5.15  PB3 - First persistent tamper after issuing of initial quotation</t>
  </si>
  <si>
    <t>15.5.16 PB3 - Second persistent tamper after issuing of first persistent tamper</t>
  </si>
  <si>
    <t>15.5.17  PB3A - First persistent tamper after issuing of initial quotation</t>
  </si>
  <si>
    <t>15.5.18 PB3A - Second persistent tamper after issuing of first persistent tamper</t>
  </si>
  <si>
    <t>15.5.19 PB3G - First persistent tamper after issuing of initial quotation</t>
  </si>
  <si>
    <t>15.5.20 PB3G - Second persistent tamper after issuing of first persistent tamper</t>
  </si>
  <si>
    <t>15.5.21  TB300 - First persistent tamper after issuing of initial quotation</t>
  </si>
  <si>
    <t>15.5.22 TB300 - Second persistent tamper after issuing of first persistent tamper</t>
  </si>
  <si>
    <t>15.5.23  TB300+ - First persistent tamper after issuing of initial quotation</t>
  </si>
  <si>
    <t>15.5.24 TB300+ - Second persistent tamper after issuing of first persistent tamper</t>
  </si>
  <si>
    <t>CENTLEC : ELECTRICITY SERVICES COSTS FOR MANGAUNG METROPOLITAN MUNICIPALITY</t>
  </si>
  <si>
    <t>15.2.2 PB1G - Business 1 Ph (Prepaid and Rotational) Including Guest houses and Student Accommodation</t>
  </si>
  <si>
    <t>15.2.5 PB3G - Business 3 Ph (Prepaid and Rotational) Including Guest houses and Student Accommodation</t>
  </si>
  <si>
    <t>NB Bulk deposits are variable due to recommendations from engineering department</t>
  </si>
  <si>
    <t>X Machaba</t>
  </si>
  <si>
    <t>Store price on March 2026</t>
  </si>
  <si>
    <t>APPROVED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</si>
</sst>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3" formatCode="_-* #,##0.00_-;\-* #,##0.00_-;_-* &quot;-&quot;??_-;_-@_-"/>
    <numFmt numFmtId="164" formatCode="&quot;R&quot;\ #,##0.00;&quot;R&quot;\ \-#,##0.00"/>
    <numFmt numFmtId="165" formatCode="&quot;R&quot;\ #,##0.00;[Red]&quot;R&quot;\ \-#,##0.00"/>
    <numFmt numFmtId="166" formatCode="_ &quot;R&quot;\ * #,##0.00_ ;_ &quot;R&quot;\ * \-#,##0.00_ ;_ &quot;R&quot;\ * &quot;-&quot;??_ ;_ @_ "/>
    <numFmt numFmtId="167" formatCode="_ * #,##0.00_ ;_ * \-#,##0.00_ ;_ * &quot;-&quot;??_ ;_ @_ "/>
    <numFmt numFmtId="168" formatCode="_(* #,##0.00_);_(* \(#,##0.00\);_(* &quot;-&quot;??_);_(@_)"/>
    <numFmt numFmtId="169" formatCode="&quot;R&quot;\ #,##0.00"/>
    <numFmt numFmtId="170" formatCode="0.0%"/>
    <numFmt numFmtId="171" formatCode="&quot;R&quot;\ #,##0.000"/>
    <numFmt numFmtId="172" formatCode="_ * #,##0_ ;_ * \-#,##0_ ;_ * &quot;-&quot;??_ ;_ @_ "/>
    <numFmt numFmtId="173" formatCode="&quot;R&quot;\ #,##0"/>
    <numFmt numFmtId="174" formatCode="&quot;R&quot;\ #,##0.000;&quot;R&quot;\ \-#,##0.000"/>
    <numFmt numFmtId="175" formatCode="_ [$R-1C09]\ * #,##0.00_ ;_ [$R-1C09]\ * \-#,##0.00_ ;_ [$R-1C09]\ * &quot;-&quot;??_ ;_ @_ "/>
    <numFmt numFmtId="176" formatCode="&quot;R&quot;#,##0.00"/>
  </numFmts>
  <fonts count="66" x14ac:knownFonts="1">
    <font>
      <sz val="10"/>
      <name val="Arial"/>
    </font>
    <font>
      <sz val="11"/>
      <color theme="1"/>
      <name val="Calibri"/>
      <family val="2"/>
      <scheme val="minor"/>
    </font>
    <font>
      <sz val="10"/>
      <name val="Arial"/>
      <family val="2"/>
    </font>
    <font>
      <b/>
      <sz val="10"/>
      <name val="Arial"/>
      <family val="2"/>
    </font>
    <font>
      <sz val="8"/>
      <color indexed="81"/>
      <name val="Tahoma"/>
      <family val="2"/>
    </font>
    <font>
      <b/>
      <sz val="8"/>
      <color indexed="81"/>
      <name val="Tahoma"/>
      <family val="2"/>
    </font>
    <font>
      <sz val="10"/>
      <name val="Arial"/>
      <family val="2"/>
    </font>
    <font>
      <b/>
      <sz val="10"/>
      <name val="Times New Roman"/>
      <family val="1"/>
    </font>
    <font>
      <sz val="12"/>
      <name val="Times New Roman"/>
      <family val="1"/>
    </font>
    <font>
      <sz val="10"/>
      <name val="Times New Roman"/>
      <family val="1"/>
    </font>
    <font>
      <b/>
      <i/>
      <sz val="10"/>
      <name val="Times New Roman"/>
      <family val="1"/>
    </font>
    <font>
      <b/>
      <sz val="10"/>
      <color indexed="12"/>
      <name val="Times New Roman"/>
      <family val="1"/>
    </font>
    <font>
      <i/>
      <sz val="10"/>
      <name val="Times New Roman"/>
      <family val="1"/>
    </font>
    <font>
      <b/>
      <sz val="12"/>
      <name val="Times New Roman"/>
      <family val="1"/>
    </font>
    <font>
      <b/>
      <sz val="10"/>
      <color indexed="10"/>
      <name val="Times New Roman"/>
      <family val="1"/>
    </font>
    <font>
      <sz val="8"/>
      <name val="Arial"/>
      <family val="2"/>
    </font>
    <font>
      <b/>
      <sz val="10"/>
      <color indexed="12"/>
      <name val="Arial"/>
      <family val="2"/>
    </font>
    <font>
      <sz val="10"/>
      <color indexed="14"/>
      <name val="Times New Roman"/>
      <family val="1"/>
    </font>
    <font>
      <b/>
      <sz val="11"/>
      <name val="Times New Roman"/>
      <family val="1"/>
    </font>
    <font>
      <u/>
      <sz val="10"/>
      <name val="Arial"/>
      <family val="2"/>
    </font>
    <font>
      <sz val="10"/>
      <name val="Arial"/>
      <family val="2"/>
    </font>
    <font>
      <b/>
      <sz val="10"/>
      <name val="Arial Narrow"/>
      <family val="2"/>
    </font>
    <font>
      <sz val="10"/>
      <name val="Arial Narrow"/>
      <family val="2"/>
    </font>
    <font>
      <sz val="18"/>
      <color indexed="10"/>
      <name val="Arial Narrow"/>
      <family val="2"/>
    </font>
    <font>
      <sz val="10"/>
      <color indexed="10"/>
      <name val="Arial Narrow"/>
      <family val="2"/>
    </font>
    <font>
      <sz val="16"/>
      <color indexed="10"/>
      <name val="Arial Narrow"/>
      <family val="2"/>
    </font>
    <font>
      <b/>
      <sz val="12"/>
      <name val="Arial"/>
      <family val="2"/>
    </font>
    <font>
      <sz val="10"/>
      <color indexed="14"/>
      <name val="Arial"/>
      <family val="2"/>
    </font>
    <font>
      <b/>
      <sz val="11"/>
      <name val="Arial"/>
      <family val="2"/>
    </font>
    <font>
      <sz val="10"/>
      <name val="Arial"/>
      <family val="2"/>
    </font>
    <font>
      <sz val="11"/>
      <color theme="1"/>
      <name val="Calibri"/>
      <family val="2"/>
      <scheme val="minor"/>
    </font>
    <font>
      <sz val="11"/>
      <color rgb="FF006100"/>
      <name val="Calibri"/>
      <family val="2"/>
      <scheme val="minor"/>
    </font>
    <font>
      <sz val="10"/>
      <color rgb="FFFF0000"/>
      <name val="Times New Roman"/>
      <family val="1"/>
    </font>
    <font>
      <sz val="10"/>
      <color rgb="FFC00000"/>
      <name val="Times New Roman"/>
      <family val="1"/>
    </font>
    <font>
      <b/>
      <sz val="10"/>
      <color rgb="FFFF0000"/>
      <name val="Times New Roman"/>
      <family val="1"/>
    </font>
    <font>
      <b/>
      <sz val="10"/>
      <color theme="1"/>
      <name val="Times New Roman"/>
      <family val="1"/>
    </font>
    <font>
      <sz val="10"/>
      <color rgb="FFFF0000"/>
      <name val="Arial"/>
      <family val="2"/>
    </font>
    <font>
      <sz val="10"/>
      <color theme="1"/>
      <name val="Arial Narrow"/>
      <family val="2"/>
    </font>
    <font>
      <b/>
      <sz val="11"/>
      <color rgb="FF000000"/>
      <name val="Arial Narrow"/>
      <family val="2"/>
    </font>
    <font>
      <sz val="10"/>
      <color rgb="FFFF0000"/>
      <name val="Arial Narrow"/>
      <family val="2"/>
    </font>
    <font>
      <sz val="10"/>
      <color theme="1"/>
      <name val="Times New Roman"/>
      <family val="1"/>
    </font>
    <font>
      <b/>
      <sz val="10"/>
      <color rgb="FFFF0000"/>
      <name val="Arial Narrow"/>
      <family val="2"/>
    </font>
    <font>
      <sz val="11"/>
      <color rgb="FF000000"/>
      <name val="Arial Narrow"/>
      <family val="2"/>
    </font>
    <font>
      <b/>
      <sz val="11"/>
      <color rgb="FFFF0000"/>
      <name val="Arial Narrow"/>
      <family val="2"/>
    </font>
    <font>
      <sz val="10"/>
      <color theme="1"/>
      <name val="Arial"/>
      <family val="2"/>
    </font>
    <font>
      <b/>
      <sz val="10"/>
      <color theme="1"/>
      <name val="Arial"/>
      <family val="2"/>
    </font>
    <font>
      <b/>
      <sz val="11"/>
      <color theme="1"/>
      <name val="Calibri"/>
      <family val="2"/>
      <scheme val="minor"/>
    </font>
    <font>
      <b/>
      <sz val="11"/>
      <color rgb="FFFF0000"/>
      <name val="Calibri"/>
      <family val="2"/>
      <scheme val="minor"/>
    </font>
    <font>
      <sz val="10"/>
      <color theme="3" tint="-0.249977111117893"/>
      <name val="Arial"/>
      <family val="2"/>
    </font>
    <font>
      <b/>
      <sz val="6"/>
      <color rgb="FF000000"/>
      <name val="Arial"/>
      <family val="2"/>
    </font>
    <font>
      <sz val="6"/>
      <color rgb="FF000000"/>
      <name val="Arial"/>
      <family val="2"/>
    </font>
    <font>
      <b/>
      <sz val="6"/>
      <name val="Arial"/>
      <family val="2"/>
    </font>
    <font>
      <sz val="6"/>
      <name val="Arial"/>
      <family val="2"/>
    </font>
    <font>
      <b/>
      <sz val="10"/>
      <color indexed="14"/>
      <name val="Arial"/>
      <family val="2"/>
    </font>
    <font>
      <b/>
      <sz val="10"/>
      <color rgb="FFFF0000"/>
      <name val="Arial"/>
      <family val="2"/>
    </font>
    <font>
      <sz val="10"/>
      <name val="Calibri"/>
      <family val="2"/>
    </font>
    <font>
      <b/>
      <sz val="12"/>
      <color rgb="FFFF0000"/>
      <name val="Arial"/>
      <family val="2"/>
    </font>
    <font>
      <sz val="9"/>
      <color indexed="81"/>
      <name val="Tahoma"/>
      <family val="2"/>
    </font>
    <font>
      <b/>
      <sz val="9"/>
      <color indexed="81"/>
      <name val="Tahoma"/>
      <family val="2"/>
    </font>
    <font>
      <u/>
      <sz val="10"/>
      <color theme="10"/>
      <name val="Arial"/>
      <family val="2"/>
    </font>
    <font>
      <sz val="9"/>
      <color theme="1"/>
      <name val="Tahoma"/>
      <family val="2"/>
    </font>
    <font>
      <b/>
      <sz val="10"/>
      <color theme="3" tint="0.39997558519241921"/>
      <name val="Times New Roman"/>
      <family val="1"/>
    </font>
    <font>
      <sz val="10"/>
      <color theme="0"/>
      <name val="Arial"/>
      <family val="2"/>
    </font>
    <font>
      <b/>
      <sz val="10"/>
      <color theme="0"/>
      <name val="Arial"/>
      <family val="2"/>
    </font>
    <font>
      <b/>
      <i/>
      <sz val="10"/>
      <name val="Arial"/>
      <family val="2"/>
    </font>
    <font>
      <b/>
      <u/>
      <sz val="10"/>
      <name val="Times New Roman"/>
      <family val="1"/>
    </font>
  </fonts>
  <fills count="1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rgb="FFC6EFCE"/>
      </patternFill>
    </fill>
    <fill>
      <patternFill patternType="solid">
        <fgColor theme="0"/>
        <bgColor indexed="64"/>
      </patternFill>
    </fill>
    <fill>
      <patternFill patternType="solid">
        <fgColor theme="6"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rgb="FFEAECC4"/>
        <bgColor indexed="64"/>
      </patternFill>
    </fill>
    <fill>
      <patternFill patternType="solid">
        <fgColor theme="6" tint="0.59999389629810485"/>
        <bgColor indexed="64"/>
      </patternFill>
    </fill>
    <fill>
      <patternFill patternType="solid">
        <fgColor rgb="FFC0C0C0"/>
        <bgColor indexed="64"/>
      </patternFill>
    </fill>
    <fill>
      <patternFill patternType="solid">
        <fgColor theme="7" tint="0.79998168889431442"/>
        <bgColor indexed="64"/>
      </patternFill>
    </fill>
    <fill>
      <patternFill patternType="solid">
        <fgColor theme="3" tint="0.39997558519241921"/>
        <bgColor indexed="64"/>
      </patternFill>
    </fill>
    <fill>
      <patternFill patternType="solid">
        <fgColor rgb="FF92D050"/>
        <bgColor indexed="64"/>
      </patternFill>
    </fill>
    <fill>
      <patternFill patternType="solid">
        <fgColor theme="4" tint="0.59999389629810485"/>
        <bgColor indexed="64"/>
      </patternFill>
    </fill>
  </fills>
  <borders count="85">
    <border>
      <left/>
      <right/>
      <top/>
      <bottom/>
      <diagonal/>
    </border>
    <border>
      <left style="thin">
        <color indexed="64"/>
      </left>
      <right style="thin">
        <color indexed="64"/>
      </right>
      <top/>
      <bottom style="thin">
        <color indexed="64"/>
      </bottom>
      <diagonal/>
    </border>
    <border>
      <left/>
      <right/>
      <top style="double">
        <color indexed="64"/>
      </top>
      <bottom/>
      <diagonal/>
    </border>
    <border>
      <left/>
      <right/>
      <top style="thin">
        <color indexed="64"/>
      </top>
      <bottom style="double">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double">
        <color indexed="64"/>
      </right>
      <top style="double">
        <color indexed="64"/>
      </top>
      <bottom/>
      <diagonal/>
    </border>
    <border>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right style="double">
        <color indexed="64"/>
      </right>
      <top style="thin">
        <color indexed="64"/>
      </top>
      <bottom style="double">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uble">
        <color indexed="64"/>
      </top>
      <bottom style="double">
        <color indexed="64"/>
      </bottom>
      <diagonal/>
    </border>
    <border>
      <left/>
      <right style="double">
        <color indexed="64"/>
      </right>
      <top/>
      <bottom/>
      <diagonal/>
    </border>
    <border>
      <left/>
      <right/>
      <top style="thin">
        <color indexed="64"/>
      </top>
      <bottom style="medium">
        <color indexed="64"/>
      </bottom>
      <diagonal/>
    </border>
    <border>
      <left/>
      <right style="medium">
        <color indexed="64"/>
      </right>
      <top/>
      <bottom style="thin">
        <color indexed="64"/>
      </bottom>
      <diagonal/>
    </border>
    <border>
      <left/>
      <right/>
      <top style="medium">
        <color indexed="64"/>
      </top>
      <bottom style="medium">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thin">
        <color indexed="64"/>
      </bottom>
      <diagonal/>
    </border>
    <border>
      <left style="thin">
        <color indexed="64"/>
      </left>
      <right style="double">
        <color indexed="64"/>
      </right>
      <top style="thin">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double">
        <color indexed="64"/>
      </bottom>
      <diagonal/>
    </border>
  </borders>
  <cellStyleXfs count="9">
    <xf numFmtId="0" fontId="0" fillId="0" borderId="0"/>
    <xf numFmtId="167" fontId="2" fillId="0" borderId="0" applyFont="0" applyFill="0" applyBorder="0" applyAlignment="0" applyProtection="0"/>
    <xf numFmtId="166" fontId="2" fillId="0" borderId="0" applyFont="0" applyFill="0" applyBorder="0" applyAlignment="0" applyProtection="0"/>
    <xf numFmtId="0" fontId="31" fillId="4" borderId="0" applyNumberFormat="0" applyBorder="0" applyAlignment="0" applyProtection="0"/>
    <xf numFmtId="0" fontId="30" fillId="0" borderId="0"/>
    <xf numFmtId="9" fontId="2" fillId="0" borderId="0" applyFont="0" applyFill="0" applyBorder="0" applyAlignment="0" applyProtection="0"/>
    <xf numFmtId="167" fontId="2" fillId="0" borderId="0" applyFont="0" applyFill="0" applyBorder="0" applyAlignment="0" applyProtection="0"/>
    <xf numFmtId="9" fontId="2" fillId="0" borderId="0" applyFont="0" applyFill="0" applyBorder="0" applyAlignment="0" applyProtection="0"/>
    <xf numFmtId="0" fontId="59" fillId="0" borderId="0" applyNumberFormat="0" applyFill="0" applyBorder="0" applyAlignment="0" applyProtection="0"/>
  </cellStyleXfs>
  <cellXfs count="985">
    <xf numFmtId="0" fontId="0" fillId="0" borderId="0" xfId="0"/>
    <xf numFmtId="0" fontId="3" fillId="0" borderId="0" xfId="0" applyFont="1"/>
    <xf numFmtId="0" fontId="6" fillId="0" borderId="0" xfId="0" applyFont="1"/>
    <xf numFmtId="0" fontId="9" fillId="0" borderId="0" xfId="0" applyFont="1"/>
    <xf numFmtId="0" fontId="7" fillId="0" borderId="1" xfId="0" applyFont="1" applyBorder="1"/>
    <xf numFmtId="0" fontId="9" fillId="0" borderId="2" xfId="0" applyFont="1" applyBorder="1"/>
    <xf numFmtId="169" fontId="12" fillId="0" borderId="3" xfId="0" applyNumberFormat="1" applyFont="1" applyBorder="1"/>
    <xf numFmtId="169" fontId="12" fillId="0" borderId="4" xfId="0" applyNumberFormat="1" applyFont="1" applyBorder="1"/>
    <xf numFmtId="0" fontId="7" fillId="2" borderId="5" xfId="0" applyFont="1" applyFill="1" applyBorder="1"/>
    <xf numFmtId="0" fontId="7" fillId="2" borderId="6" xfId="0" applyFont="1" applyFill="1" applyBorder="1" applyAlignment="1">
      <alignment horizontal="left"/>
    </xf>
    <xf numFmtId="0" fontId="7" fillId="0" borderId="5" xfId="0" applyFont="1" applyBorder="1"/>
    <xf numFmtId="0" fontId="7" fillId="0" borderId="7" xfId="0" applyFont="1" applyBorder="1"/>
    <xf numFmtId="0" fontId="9" fillId="0" borderId="7" xfId="0" applyFont="1" applyBorder="1"/>
    <xf numFmtId="0" fontId="7" fillId="2" borderId="7" xfId="0" applyFont="1" applyFill="1" applyBorder="1"/>
    <xf numFmtId="0" fontId="7" fillId="2" borderId="8" xfId="0" applyFont="1" applyFill="1" applyBorder="1"/>
    <xf numFmtId="0" fontId="10" fillId="2" borderId="1" xfId="0" applyFont="1" applyFill="1" applyBorder="1" applyAlignment="1">
      <alignment horizontal="center"/>
    </xf>
    <xf numFmtId="0" fontId="9" fillId="0" borderId="9" xfId="0" applyFont="1" applyBorder="1"/>
    <xf numFmtId="0" fontId="9" fillId="0" borderId="6" xfId="0" applyFont="1" applyBorder="1"/>
    <xf numFmtId="0" fontId="10" fillId="0" borderId="10" xfId="0" applyFont="1" applyBorder="1" applyAlignment="1">
      <alignment horizontal="center"/>
    </xf>
    <xf numFmtId="0" fontId="7" fillId="0" borderId="10" xfId="0" applyFont="1" applyBorder="1" applyAlignment="1">
      <alignment horizontal="center"/>
    </xf>
    <xf numFmtId="0" fontId="9" fillId="0" borderId="10" xfId="0" applyFont="1" applyBorder="1"/>
    <xf numFmtId="0" fontId="10" fillId="0" borderId="7" xfId="0" applyFont="1" applyBorder="1"/>
    <xf numFmtId="0" fontId="7" fillId="0" borderId="10" xfId="0" applyFont="1" applyBorder="1"/>
    <xf numFmtId="169" fontId="12" fillId="0" borderId="10" xfId="0" applyNumberFormat="1" applyFont="1" applyBorder="1"/>
    <xf numFmtId="169" fontId="9" fillId="0" borderId="11" xfId="0" applyNumberFormat="1" applyFont="1" applyBorder="1"/>
    <xf numFmtId="0" fontId="12" fillId="0" borderId="9" xfId="0" applyFont="1" applyBorder="1"/>
    <xf numFmtId="0" fontId="10" fillId="0" borderId="10" xfId="0" applyFont="1" applyBorder="1"/>
    <xf numFmtId="0" fontId="12" fillId="0" borderId="10" xfId="0" applyFont="1" applyBorder="1"/>
    <xf numFmtId="0" fontId="9" fillId="0" borderId="3" xfId="0" applyFont="1" applyBorder="1"/>
    <xf numFmtId="0" fontId="9" fillId="0" borderId="4" xfId="0" applyFont="1" applyBorder="1"/>
    <xf numFmtId="0" fontId="13" fillId="0" borderId="5" xfId="0" applyFont="1" applyBorder="1" applyAlignment="1">
      <alignment horizontal="center"/>
    </xf>
    <xf numFmtId="0" fontId="13" fillId="0" borderId="9" xfId="0" applyFont="1" applyBorder="1" applyAlignment="1">
      <alignment horizontal="center"/>
    </xf>
    <xf numFmtId="0" fontId="9" fillId="0" borderId="5" xfId="0" applyFont="1" applyBorder="1"/>
    <xf numFmtId="0" fontId="9" fillId="0" borderId="12" xfId="0" applyFont="1" applyBorder="1"/>
    <xf numFmtId="0" fontId="7" fillId="0" borderId="13" xfId="0" applyFont="1" applyBorder="1"/>
    <xf numFmtId="0" fontId="7" fillId="0" borderId="14" xfId="0" applyFont="1" applyBorder="1"/>
    <xf numFmtId="0" fontId="9" fillId="0" borderId="8" xfId="0" applyFont="1" applyBorder="1"/>
    <xf numFmtId="0" fontId="9" fillId="0" borderId="15" xfId="0" applyFont="1" applyBorder="1"/>
    <xf numFmtId="0" fontId="9" fillId="0" borderId="10" xfId="0" applyFont="1" applyBorder="1" applyAlignment="1">
      <alignment horizontal="center"/>
    </xf>
    <xf numFmtId="0" fontId="7" fillId="0" borderId="1" xfId="0" applyFont="1" applyBorder="1" applyAlignment="1">
      <alignment horizontal="center"/>
    </xf>
    <xf numFmtId="0" fontId="10" fillId="0" borderId="10" xfId="0" applyFont="1" applyBorder="1" applyAlignment="1">
      <alignment horizontal="right"/>
    </xf>
    <xf numFmtId="0" fontId="12" fillId="0" borderId="7" xfId="0" applyFont="1" applyBorder="1"/>
    <xf numFmtId="0" fontId="9" fillId="0" borderId="16" xfId="0" applyFont="1" applyBorder="1"/>
    <xf numFmtId="0" fontId="9" fillId="0" borderId="16" xfId="0" applyFont="1" applyBorder="1" applyAlignment="1">
      <alignment horizontal="center"/>
    </xf>
    <xf numFmtId="0" fontId="0" fillId="0" borderId="10" xfId="0" applyBorder="1"/>
    <xf numFmtId="0" fontId="0" fillId="0" borderId="11" xfId="0" applyBorder="1"/>
    <xf numFmtId="169" fontId="0" fillId="0" borderId="10" xfId="0" applyNumberFormat="1" applyBorder="1"/>
    <xf numFmtId="15" fontId="0" fillId="0" borderId="10" xfId="0" applyNumberFormat="1" applyBorder="1"/>
    <xf numFmtId="169" fontId="0" fillId="0" borderId="6" xfId="0" applyNumberFormat="1" applyBorder="1"/>
    <xf numFmtId="0" fontId="0" fillId="0" borderId="6" xfId="0" applyBorder="1"/>
    <xf numFmtId="15" fontId="16" fillId="2" borderId="10" xfId="0" applyNumberFormat="1" applyFont="1" applyFill="1" applyBorder="1"/>
    <xf numFmtId="169" fontId="0" fillId="2" borderId="6" xfId="0" applyNumberFormat="1" applyFill="1" applyBorder="1"/>
    <xf numFmtId="0" fontId="3" fillId="0" borderId="10" xfId="0" applyFont="1" applyBorder="1" applyAlignment="1">
      <alignment horizontal="center"/>
    </xf>
    <xf numFmtId="169" fontId="6" fillId="0" borderId="10" xfId="0" applyNumberFormat="1" applyFont="1" applyBorder="1" applyAlignment="1">
      <alignment horizontal="center"/>
    </xf>
    <xf numFmtId="15" fontId="3" fillId="0" borderId="10" xfId="0" applyNumberFormat="1" applyFont="1" applyBorder="1" applyAlignment="1">
      <alignment horizontal="center"/>
    </xf>
    <xf numFmtId="9" fontId="0" fillId="0" borderId="0" xfId="0" applyNumberFormat="1"/>
    <xf numFmtId="0" fontId="9" fillId="0" borderId="11" xfId="0" applyFont="1" applyBorder="1"/>
    <xf numFmtId="0" fontId="7" fillId="0" borderId="11" xfId="0" applyFont="1" applyBorder="1"/>
    <xf numFmtId="0" fontId="9" fillId="0" borderId="11" xfId="0" quotePrefix="1" applyFont="1" applyBorder="1"/>
    <xf numFmtId="0" fontId="11" fillId="0" borderId="11" xfId="0" applyFont="1" applyBorder="1" applyAlignment="1">
      <alignment horizontal="center"/>
    </xf>
    <xf numFmtId="169" fontId="0" fillId="0" borderId="11" xfId="0" applyNumberFormat="1" applyBorder="1"/>
    <xf numFmtId="15" fontId="11" fillId="0" borderId="9" xfId="0" applyNumberFormat="1" applyFont="1" applyBorder="1"/>
    <xf numFmtId="166" fontId="9" fillId="0" borderId="5" xfId="2" applyFont="1" applyBorder="1"/>
    <xf numFmtId="2" fontId="0" fillId="0" borderId="0" xfId="0" applyNumberFormat="1"/>
    <xf numFmtId="0" fontId="9" fillId="0" borderId="17" xfId="0" applyFont="1" applyBorder="1"/>
    <xf numFmtId="0" fontId="13" fillId="0" borderId="18" xfId="0" applyFont="1" applyBorder="1" applyAlignment="1">
      <alignment horizontal="center"/>
    </xf>
    <xf numFmtId="0" fontId="11" fillId="2" borderId="19" xfId="0" applyFont="1" applyFill="1" applyBorder="1" applyAlignment="1">
      <alignment horizontal="center"/>
    </xf>
    <xf numFmtId="169" fontId="9" fillId="0" borderId="18" xfId="0" applyNumberFormat="1" applyFont="1" applyBorder="1"/>
    <xf numFmtId="0" fontId="11" fillId="2" borderId="19" xfId="0" quotePrefix="1" applyFont="1" applyFill="1" applyBorder="1" applyAlignment="1">
      <alignment horizontal="center"/>
    </xf>
    <xf numFmtId="169" fontId="9" fillId="0" borderId="20" xfId="0" applyNumberFormat="1" applyFont="1" applyBorder="1"/>
    <xf numFmtId="169" fontId="9" fillId="0" borderId="21" xfId="0" applyNumberFormat="1" applyFont="1" applyBorder="1"/>
    <xf numFmtId="0" fontId="9" fillId="0" borderId="18" xfId="0" applyFont="1" applyBorder="1"/>
    <xf numFmtId="0" fontId="9" fillId="0" borderId="22" xfId="0" applyFont="1" applyBorder="1"/>
    <xf numFmtId="170" fontId="11" fillId="5" borderId="11" xfId="0" applyNumberFormat="1" applyFont="1" applyFill="1" applyBorder="1" applyAlignment="1">
      <alignment horizontal="center"/>
    </xf>
    <xf numFmtId="0" fontId="9" fillId="5" borderId="0" xfId="0" applyFont="1" applyFill="1"/>
    <xf numFmtId="0" fontId="6" fillId="0" borderId="5" xfId="0" applyFont="1" applyBorder="1"/>
    <xf numFmtId="169" fontId="9" fillId="5" borderId="0" xfId="0" applyNumberFormat="1" applyFont="1" applyFill="1"/>
    <xf numFmtId="0" fontId="9" fillId="5" borderId="10" xfId="0" applyFont="1" applyFill="1" applyBorder="1"/>
    <xf numFmtId="169" fontId="12" fillId="5" borderId="10" xfId="0" applyNumberFormat="1" applyFont="1" applyFill="1" applyBorder="1"/>
    <xf numFmtId="0" fontId="7" fillId="2" borderId="19" xfId="0" applyFont="1" applyFill="1" applyBorder="1" applyAlignment="1">
      <alignment horizontal="center"/>
    </xf>
    <xf numFmtId="9" fontId="7" fillId="0" borderId="11" xfId="0" applyNumberFormat="1" applyFont="1" applyBorder="1" applyAlignment="1">
      <alignment horizontal="center"/>
    </xf>
    <xf numFmtId="169" fontId="9" fillId="5" borderId="7" xfId="0" applyNumberFormat="1" applyFont="1" applyFill="1" applyBorder="1"/>
    <xf numFmtId="169" fontId="12" fillId="5" borderId="0" xfId="0" applyNumberFormat="1" applyFont="1" applyFill="1"/>
    <xf numFmtId="169" fontId="12" fillId="5" borderId="7" xfId="0" applyNumberFormat="1" applyFont="1" applyFill="1" applyBorder="1"/>
    <xf numFmtId="169" fontId="7" fillId="5" borderId="0" xfId="0" applyNumberFormat="1" applyFont="1" applyFill="1"/>
    <xf numFmtId="0" fontId="32" fillId="5" borderId="0" xfId="0" applyFont="1" applyFill="1"/>
    <xf numFmtId="0" fontId="0" fillId="5" borderId="0" xfId="0" applyFill="1"/>
    <xf numFmtId="0" fontId="8" fillId="5" borderId="0" xfId="0" applyFont="1" applyFill="1"/>
    <xf numFmtId="0" fontId="9" fillId="5" borderId="23" xfId="0" applyFont="1" applyFill="1" applyBorder="1"/>
    <xf numFmtId="0" fontId="9" fillId="5" borderId="24" xfId="0" applyFont="1" applyFill="1" applyBorder="1"/>
    <xf numFmtId="0" fontId="9" fillId="5" borderId="25" xfId="0" applyFont="1" applyFill="1" applyBorder="1"/>
    <xf numFmtId="0" fontId="9" fillId="5" borderId="26" xfId="0" applyFont="1" applyFill="1" applyBorder="1"/>
    <xf numFmtId="0" fontId="7" fillId="5" borderId="5" xfId="0" applyFont="1" applyFill="1" applyBorder="1"/>
    <xf numFmtId="0" fontId="9" fillId="5" borderId="9" xfId="0" applyFont="1" applyFill="1" applyBorder="1"/>
    <xf numFmtId="0" fontId="9" fillId="5" borderId="6" xfId="0" applyFont="1" applyFill="1" applyBorder="1"/>
    <xf numFmtId="0" fontId="9" fillId="5" borderId="27" xfId="0" applyFont="1" applyFill="1" applyBorder="1"/>
    <xf numFmtId="0" fontId="7" fillId="5" borderId="12" xfId="0" applyFont="1" applyFill="1" applyBorder="1"/>
    <xf numFmtId="0" fontId="9" fillId="5" borderId="13" xfId="0" applyFont="1" applyFill="1" applyBorder="1"/>
    <xf numFmtId="0" fontId="9" fillId="5" borderId="14" xfId="0" applyFont="1" applyFill="1" applyBorder="1"/>
    <xf numFmtId="0" fontId="7" fillId="5" borderId="15" xfId="0" quotePrefix="1" applyFont="1" applyFill="1" applyBorder="1"/>
    <xf numFmtId="0" fontId="9" fillId="5" borderId="7" xfId="0" applyFont="1" applyFill="1" applyBorder="1"/>
    <xf numFmtId="0" fontId="9" fillId="5" borderId="28" xfId="0" applyFont="1" applyFill="1" applyBorder="1"/>
    <xf numFmtId="0" fontId="9" fillId="5" borderId="29" xfId="0" applyFont="1" applyFill="1" applyBorder="1" applyAlignment="1">
      <alignment horizontal="center"/>
    </xf>
    <xf numFmtId="0" fontId="7" fillId="5" borderId="0" xfId="0" applyFont="1" applyFill="1" applyAlignment="1">
      <alignment horizontal="center"/>
    </xf>
    <xf numFmtId="0" fontId="7" fillId="5" borderId="0" xfId="0" applyFont="1" applyFill="1"/>
    <xf numFmtId="169" fontId="9" fillId="5" borderId="27" xfId="0" applyNumberFormat="1" applyFont="1" applyFill="1" applyBorder="1"/>
    <xf numFmtId="9" fontId="9" fillId="5" borderId="0" xfId="0" applyNumberFormat="1" applyFont="1" applyFill="1"/>
    <xf numFmtId="169" fontId="9" fillId="5" borderId="3" xfId="0" applyNumberFormat="1" applyFont="1" applyFill="1" applyBorder="1"/>
    <xf numFmtId="169" fontId="9" fillId="5" borderId="30" xfId="0" applyNumberFormat="1" applyFont="1" applyFill="1" applyBorder="1"/>
    <xf numFmtId="169" fontId="9" fillId="5" borderId="2" xfId="0" applyNumberFormat="1" applyFont="1" applyFill="1" applyBorder="1"/>
    <xf numFmtId="169" fontId="7" fillId="5" borderId="27" xfId="0" applyNumberFormat="1" applyFont="1" applyFill="1" applyBorder="1"/>
    <xf numFmtId="169" fontId="0" fillId="5" borderId="0" xfId="0" applyNumberFormat="1" applyFill="1"/>
    <xf numFmtId="170" fontId="7" fillId="5" borderId="0" xfId="5" applyNumberFormat="1" applyFont="1" applyFill="1" applyBorder="1"/>
    <xf numFmtId="170" fontId="7" fillId="5" borderId="27" xfId="5" applyNumberFormat="1" applyFont="1" applyFill="1" applyBorder="1"/>
    <xf numFmtId="0" fontId="9" fillId="5" borderId="10" xfId="0" applyFont="1" applyFill="1" applyBorder="1" applyAlignment="1">
      <alignment wrapText="1"/>
    </xf>
    <xf numFmtId="0" fontId="0" fillId="5" borderId="27" xfId="0" applyFill="1" applyBorder="1"/>
    <xf numFmtId="169" fontId="9" fillId="5" borderId="10" xfId="0" applyNumberFormat="1" applyFont="1" applyFill="1" applyBorder="1"/>
    <xf numFmtId="0" fontId="9" fillId="5" borderId="31" xfId="0" applyFont="1" applyFill="1" applyBorder="1"/>
    <xf numFmtId="0" fontId="9" fillId="5" borderId="32" xfId="0" applyFont="1" applyFill="1" applyBorder="1"/>
    <xf numFmtId="0" fontId="9" fillId="5" borderId="33" xfId="0" applyFont="1" applyFill="1" applyBorder="1"/>
    <xf numFmtId="0" fontId="9" fillId="5" borderId="2" xfId="0" applyFont="1" applyFill="1" applyBorder="1"/>
    <xf numFmtId="0" fontId="9" fillId="5" borderId="8" xfId="0" applyFont="1" applyFill="1" applyBorder="1"/>
    <xf numFmtId="0" fontId="7" fillId="5" borderId="0" xfId="0" quotePrefix="1" applyFont="1" applyFill="1"/>
    <xf numFmtId="0" fontId="9" fillId="5" borderId="30" xfId="0" applyFont="1" applyFill="1" applyBorder="1"/>
    <xf numFmtId="0" fontId="7" fillId="5" borderId="0" xfId="0" applyFont="1" applyFill="1" applyAlignment="1">
      <alignment horizontal="center" wrapText="1"/>
    </xf>
    <xf numFmtId="0" fontId="34" fillId="5" borderId="0" xfId="0" quotePrefix="1" applyFont="1" applyFill="1"/>
    <xf numFmtId="0" fontId="7" fillId="5" borderId="0" xfId="0" applyFont="1" applyFill="1" applyAlignment="1">
      <alignment horizontal="left" wrapText="1"/>
    </xf>
    <xf numFmtId="0" fontId="11" fillId="5" borderId="0" xfId="0" applyFont="1" applyFill="1"/>
    <xf numFmtId="0" fontId="9" fillId="5" borderId="0" xfId="0" applyFont="1" applyFill="1" applyAlignment="1">
      <alignment horizontal="center"/>
    </xf>
    <xf numFmtId="169" fontId="12" fillId="5" borderId="2" xfId="0" applyNumberFormat="1" applyFont="1" applyFill="1" applyBorder="1"/>
    <xf numFmtId="170" fontId="7" fillId="5" borderId="30" xfId="5" applyNumberFormat="1" applyFont="1" applyFill="1" applyBorder="1"/>
    <xf numFmtId="0" fontId="7" fillId="5" borderId="0" xfId="0" applyFont="1" applyFill="1" applyAlignment="1">
      <alignment horizontal="center" vertical="center" wrapText="1"/>
    </xf>
    <xf numFmtId="0" fontId="7" fillId="5" borderId="0" xfId="0" applyFont="1" applyFill="1" applyAlignment="1">
      <alignment horizontal="center" vertical="center"/>
    </xf>
    <xf numFmtId="169" fontId="17" fillId="5" borderId="0" xfId="0" applyNumberFormat="1" applyFont="1" applyFill="1"/>
    <xf numFmtId="0" fontId="7" fillId="5" borderId="2" xfId="0" quotePrefix="1" applyFont="1" applyFill="1" applyBorder="1"/>
    <xf numFmtId="0" fontId="10" fillId="5" borderId="0" xfId="0" applyFont="1" applyFill="1"/>
    <xf numFmtId="0" fontId="12" fillId="5" borderId="0" xfId="0" applyFont="1" applyFill="1"/>
    <xf numFmtId="169" fontId="9" fillId="5" borderId="13" xfId="0" applyNumberFormat="1" applyFont="1" applyFill="1" applyBorder="1"/>
    <xf numFmtId="169" fontId="9" fillId="5" borderId="9" xfId="0" applyNumberFormat="1" applyFont="1" applyFill="1" applyBorder="1"/>
    <xf numFmtId="0" fontId="35" fillId="5" borderId="0" xfId="0" applyFont="1" applyFill="1" applyAlignment="1">
      <alignment horizontal="center"/>
    </xf>
    <xf numFmtId="169" fontId="7" fillId="5" borderId="9" xfId="0" applyNumberFormat="1" applyFont="1" applyFill="1" applyBorder="1"/>
    <xf numFmtId="169" fontId="7" fillId="5" borderId="3" xfId="0" applyNumberFormat="1" applyFont="1" applyFill="1" applyBorder="1"/>
    <xf numFmtId="169" fontId="7" fillId="5" borderId="2" xfId="0" applyNumberFormat="1" applyFont="1" applyFill="1" applyBorder="1"/>
    <xf numFmtId="170" fontId="7" fillId="5" borderId="0" xfId="5" applyNumberFormat="1" applyFont="1" applyFill="1" applyBorder="1" applyAlignment="1">
      <alignment horizontal="center"/>
    </xf>
    <xf numFmtId="169" fontId="12" fillId="5" borderId="3" xfId="0" applyNumberFormat="1" applyFont="1" applyFill="1" applyBorder="1"/>
    <xf numFmtId="0" fontId="18" fillId="5" borderId="0" xfId="0" applyFont="1" applyFill="1" applyAlignment="1">
      <alignment wrapText="1"/>
    </xf>
    <xf numFmtId="9" fontId="20" fillId="5" borderId="0" xfId="5" applyFont="1" applyFill="1"/>
    <xf numFmtId="0" fontId="7" fillId="5" borderId="5" xfId="0" applyFont="1" applyFill="1" applyBorder="1" applyAlignment="1">
      <alignment vertical="center"/>
    </xf>
    <xf numFmtId="0" fontId="14" fillId="5" borderId="0" xfId="0" applyFont="1" applyFill="1"/>
    <xf numFmtId="0" fontId="7" fillId="5" borderId="15" xfId="0" applyFont="1" applyFill="1" applyBorder="1"/>
    <xf numFmtId="169" fontId="32" fillId="7" borderId="11" xfId="0" applyNumberFormat="1" applyFont="1" applyFill="1" applyBorder="1"/>
    <xf numFmtId="0" fontId="36" fillId="0" borderId="0" xfId="0" applyFont="1"/>
    <xf numFmtId="0" fontId="11" fillId="0" borderId="0" xfId="0" applyFont="1"/>
    <xf numFmtId="0" fontId="9" fillId="0" borderId="35" xfId="0" applyFont="1" applyBorder="1"/>
    <xf numFmtId="0" fontId="3" fillId="0" borderId="11" xfId="0" applyFont="1" applyBorder="1" applyAlignment="1">
      <alignment horizontal="center"/>
    </xf>
    <xf numFmtId="169" fontId="3" fillId="0" borderId="11" xfId="0" applyNumberFormat="1" applyFont="1" applyBorder="1" applyAlignment="1">
      <alignment horizontal="center"/>
    </xf>
    <xf numFmtId="170" fontId="34" fillId="3" borderId="11" xfId="0" applyNumberFormat="1" applyFont="1" applyFill="1" applyBorder="1" applyAlignment="1">
      <alignment horizontal="center"/>
    </xf>
    <xf numFmtId="169" fontId="32" fillId="5" borderId="11" xfId="0" applyNumberFormat="1" applyFont="1" applyFill="1" applyBorder="1"/>
    <xf numFmtId="0" fontId="0" fillId="0" borderId="23" xfId="0" applyBorder="1"/>
    <xf numFmtId="0" fontId="0" fillId="0" borderId="24" xfId="0" applyBorder="1"/>
    <xf numFmtId="0" fontId="0" fillId="0" borderId="26" xfId="0" applyBorder="1"/>
    <xf numFmtId="0" fontId="6" fillId="0" borderId="26" xfId="0" applyFont="1" applyBorder="1"/>
    <xf numFmtId="0" fontId="0" fillId="0" borderId="31" xfId="0" applyBorder="1"/>
    <xf numFmtId="166" fontId="0" fillId="0" borderId="24" xfId="2" applyFont="1" applyBorder="1"/>
    <xf numFmtId="166" fontId="0" fillId="0" borderId="0" xfId="2" applyFont="1" applyBorder="1"/>
    <xf numFmtId="166" fontId="6" fillId="0" borderId="0" xfId="2" applyFont="1" applyBorder="1"/>
    <xf numFmtId="166" fontId="0" fillId="0" borderId="27" xfId="2" applyFont="1" applyBorder="1"/>
    <xf numFmtId="166" fontId="6" fillId="0" borderId="27" xfId="2" applyFont="1" applyBorder="1"/>
    <xf numFmtId="172" fontId="6" fillId="0" borderId="0" xfId="1" applyNumberFormat="1" applyFont="1" applyBorder="1"/>
    <xf numFmtId="0" fontId="3" fillId="0" borderId="26" xfId="0" applyFont="1" applyBorder="1" applyAlignment="1">
      <alignment horizontal="right"/>
    </xf>
    <xf numFmtId="166" fontId="3" fillId="0" borderId="0" xfId="2" applyFont="1" applyBorder="1"/>
    <xf numFmtId="166" fontId="3" fillId="0" borderId="27" xfId="2" applyFont="1" applyBorder="1"/>
    <xf numFmtId="166" fontId="3" fillId="0" borderId="32" xfId="2" applyFont="1" applyBorder="1"/>
    <xf numFmtId="166" fontId="3" fillId="0" borderId="33" xfId="2" applyFont="1" applyBorder="1"/>
    <xf numFmtId="169" fontId="9" fillId="5" borderId="11" xfId="0" applyNumberFormat="1" applyFont="1" applyFill="1" applyBorder="1"/>
    <xf numFmtId="0" fontId="37" fillId="0" borderId="23" xfId="0" applyFont="1" applyBorder="1" applyAlignment="1">
      <alignment vertical="center"/>
    </xf>
    <xf numFmtId="0" fontId="37" fillId="0" borderId="24" xfId="0" applyFont="1" applyBorder="1" applyAlignment="1">
      <alignment vertical="center"/>
    </xf>
    <xf numFmtId="0" fontId="21" fillId="5" borderId="10" xfId="0" applyFont="1" applyFill="1" applyBorder="1" applyAlignment="1">
      <alignment horizontal="center" vertical="center"/>
    </xf>
    <xf numFmtId="0" fontId="38" fillId="0" borderId="10" xfId="0" applyFont="1" applyBorder="1" applyAlignment="1">
      <alignment vertical="center"/>
    </xf>
    <xf numFmtId="0" fontId="22" fillId="5" borderId="10" xfId="0" applyFont="1" applyFill="1" applyBorder="1" applyAlignment="1">
      <alignment horizontal="center" vertical="center" wrapText="1"/>
    </xf>
    <xf numFmtId="0" fontId="38" fillId="5" borderId="10" xfId="0" applyFont="1" applyFill="1" applyBorder="1" applyAlignment="1">
      <alignment vertical="center"/>
    </xf>
    <xf numFmtId="0" fontId="37" fillId="0" borderId="10" xfId="0" applyFont="1" applyBorder="1" applyAlignment="1">
      <alignment vertical="center"/>
    </xf>
    <xf numFmtId="168" fontId="37" fillId="5" borderId="10" xfId="0" applyNumberFormat="1" applyFont="1" applyFill="1" applyBorder="1" applyAlignment="1">
      <alignment horizontal="right" vertical="center"/>
    </xf>
    <xf numFmtId="168" fontId="39" fillId="5" borderId="10" xfId="0" applyNumberFormat="1" applyFont="1" applyFill="1" applyBorder="1" applyAlignment="1">
      <alignment horizontal="right" vertical="center"/>
    </xf>
    <xf numFmtId="0" fontId="37" fillId="0" borderId="0" xfId="0" applyFont="1" applyAlignment="1">
      <alignment vertical="center"/>
    </xf>
    <xf numFmtId="0" fontId="39" fillId="0" borderId="0" xfId="0" applyFont="1" applyAlignment="1">
      <alignment vertical="center"/>
    </xf>
    <xf numFmtId="166" fontId="9" fillId="5" borderId="0" xfId="0" applyNumberFormat="1" applyFont="1" applyFill="1"/>
    <xf numFmtId="3" fontId="0" fillId="0" borderId="0" xfId="0" applyNumberFormat="1"/>
    <xf numFmtId="169" fontId="32" fillId="5" borderId="0" xfId="0" applyNumberFormat="1" applyFont="1" applyFill="1"/>
    <xf numFmtId="169" fontId="40" fillId="5" borderId="0" xfId="0" applyNumberFormat="1" applyFont="1" applyFill="1"/>
    <xf numFmtId="166" fontId="0" fillId="0" borderId="7" xfId="2" applyFont="1" applyBorder="1"/>
    <xf numFmtId="166" fontId="0" fillId="0" borderId="36" xfId="2" applyFont="1" applyBorder="1"/>
    <xf numFmtId="0" fontId="0" fillId="0" borderId="36" xfId="2" applyNumberFormat="1" applyFont="1" applyBorder="1"/>
    <xf numFmtId="166" fontId="3" fillId="0" borderId="38" xfId="2" applyFont="1" applyBorder="1"/>
    <xf numFmtId="166" fontId="0" fillId="0" borderId="39" xfId="2" applyFont="1" applyBorder="1"/>
    <xf numFmtId="0" fontId="6" fillId="0" borderId="0" xfId="0" applyFont="1" applyAlignment="1">
      <alignment wrapText="1"/>
    </xf>
    <xf numFmtId="170" fontId="6" fillId="0" borderId="0" xfId="0" applyNumberFormat="1" applyFont="1"/>
    <xf numFmtId="0" fontId="6" fillId="0" borderId="0" xfId="0" applyFont="1" applyAlignment="1">
      <alignment horizontal="center" vertical="center" wrapText="1"/>
    </xf>
    <xf numFmtId="169" fontId="32" fillId="5" borderId="0" xfId="0" applyNumberFormat="1" applyFont="1" applyFill="1" applyAlignment="1">
      <alignment horizontal="right"/>
    </xf>
    <xf numFmtId="0" fontId="6" fillId="5" borderId="0" xfId="0" applyFont="1" applyFill="1"/>
    <xf numFmtId="0" fontId="6" fillId="8" borderId="0" xfId="0" applyFont="1" applyFill="1"/>
    <xf numFmtId="169" fontId="6" fillId="8" borderId="10" xfId="0" applyNumberFormat="1" applyFont="1" applyFill="1" applyBorder="1"/>
    <xf numFmtId="169" fontId="9" fillId="7" borderId="0" xfId="0" applyNumberFormat="1" applyFont="1" applyFill="1"/>
    <xf numFmtId="169" fontId="40" fillId="5" borderId="7" xfId="0" applyNumberFormat="1" applyFont="1" applyFill="1" applyBorder="1"/>
    <xf numFmtId="0" fontId="21" fillId="10" borderId="41" xfId="0" applyFont="1" applyFill="1" applyBorder="1" applyAlignment="1">
      <alignment horizontal="center" vertical="center"/>
    </xf>
    <xf numFmtId="0" fontId="38" fillId="0" borderId="42" xfId="0" applyFont="1" applyBorder="1" applyAlignment="1">
      <alignment vertical="center"/>
    </xf>
    <xf numFmtId="0" fontId="38" fillId="10" borderId="41" xfId="0" applyFont="1" applyFill="1" applyBorder="1" applyAlignment="1">
      <alignment vertical="center"/>
    </xf>
    <xf numFmtId="0" fontId="37" fillId="0" borderId="42" xfId="0" applyFont="1" applyBorder="1" applyAlignment="1">
      <alignment vertical="center"/>
    </xf>
    <xf numFmtId="0" fontId="37" fillId="0" borderId="43" xfId="0" applyFont="1" applyBorder="1" applyAlignment="1">
      <alignment vertical="center"/>
    </xf>
    <xf numFmtId="0" fontId="37" fillId="0" borderId="44" xfId="0" applyFont="1" applyBorder="1" applyAlignment="1">
      <alignment vertical="center"/>
    </xf>
    <xf numFmtId="168" fontId="39" fillId="5" borderId="44" xfId="0" applyNumberFormat="1" applyFont="1" applyFill="1" applyBorder="1" applyAlignment="1">
      <alignment horizontal="right" vertical="center"/>
    </xf>
    <xf numFmtId="166" fontId="32" fillId="7" borderId="11" xfId="0" quotePrefix="1" applyNumberFormat="1" applyFont="1" applyFill="1" applyBorder="1"/>
    <xf numFmtId="171" fontId="40" fillId="5" borderId="11" xfId="0" applyNumberFormat="1" applyFont="1" applyFill="1" applyBorder="1"/>
    <xf numFmtId="0" fontId="7" fillId="7" borderId="0" xfId="0" applyFont="1" applyFill="1"/>
    <xf numFmtId="0" fontId="34" fillId="7" borderId="0" xfId="0" applyFont="1" applyFill="1"/>
    <xf numFmtId="0" fontId="32" fillId="7" borderId="0" xfId="0" applyFont="1" applyFill="1"/>
    <xf numFmtId="0" fontId="6" fillId="0" borderId="10" xfId="0" applyFont="1" applyBorder="1"/>
    <xf numFmtId="0" fontId="6" fillId="5" borderId="10" xfId="0" applyFont="1" applyFill="1" applyBorder="1"/>
    <xf numFmtId="0" fontId="6" fillId="8" borderId="10" xfId="0" applyFont="1" applyFill="1" applyBorder="1"/>
    <xf numFmtId="170" fontId="6" fillId="0" borderId="10" xfId="0" applyNumberFormat="1" applyFont="1" applyBorder="1"/>
    <xf numFmtId="0" fontId="6" fillId="9" borderId="10" xfId="0" applyFont="1" applyFill="1" applyBorder="1"/>
    <xf numFmtId="0" fontId="6" fillId="0" borderId="10" xfId="0" applyFont="1" applyBorder="1" applyAlignment="1">
      <alignment wrapText="1"/>
    </xf>
    <xf numFmtId="0" fontId="6" fillId="0" borderId="10" xfId="0" applyFont="1" applyBorder="1" applyAlignment="1">
      <alignment horizontal="center" vertical="center" wrapText="1"/>
    </xf>
    <xf numFmtId="170" fontId="3" fillId="0" borderId="10" xfId="0" applyNumberFormat="1" applyFont="1" applyBorder="1"/>
    <xf numFmtId="0" fontId="3" fillId="9" borderId="10" xfId="0" applyFont="1" applyFill="1" applyBorder="1" applyAlignment="1">
      <alignment horizontal="center"/>
    </xf>
    <xf numFmtId="0" fontId="3" fillId="0" borderId="10" xfId="0" applyFont="1" applyBorder="1" applyAlignment="1">
      <alignment horizontal="center" wrapText="1"/>
    </xf>
    <xf numFmtId="0" fontId="3" fillId="0" borderId="10" xfId="0" applyFont="1" applyBorder="1" applyAlignment="1">
      <alignment horizontal="center" vertical="center" wrapText="1"/>
    </xf>
    <xf numFmtId="0" fontId="3" fillId="0" borderId="10" xfId="0" applyFont="1" applyBorder="1" applyAlignment="1">
      <alignment wrapText="1"/>
    </xf>
    <xf numFmtId="170" fontId="6" fillId="0" borderId="10" xfId="5" applyNumberFormat="1" applyFont="1" applyBorder="1" applyAlignment="1">
      <alignment horizontal="center"/>
    </xf>
    <xf numFmtId="166" fontId="6" fillId="0" borderId="10" xfId="2" applyFont="1" applyBorder="1" applyAlignment="1">
      <alignment horizontal="center"/>
    </xf>
    <xf numFmtId="0" fontId="6" fillId="0" borderId="10" xfId="0" applyFont="1" applyBorder="1" applyAlignment="1">
      <alignment horizontal="center"/>
    </xf>
    <xf numFmtId="0" fontId="6" fillId="0" borderId="10" xfId="0" quotePrefix="1" applyFont="1" applyBorder="1" applyAlignment="1">
      <alignment wrapText="1"/>
    </xf>
    <xf numFmtId="0" fontId="6" fillId="0" borderId="10" xfId="0" quotePrefix="1" applyFont="1" applyBorder="1" applyAlignment="1">
      <alignment horizontal="center" vertical="center" wrapText="1"/>
    </xf>
    <xf numFmtId="0" fontId="6" fillId="5" borderId="10" xfId="0" applyFont="1" applyFill="1" applyBorder="1" applyAlignment="1">
      <alignment wrapText="1"/>
    </xf>
    <xf numFmtId="0" fontId="6" fillId="5" borderId="10" xfId="0" applyFont="1" applyFill="1" applyBorder="1" applyAlignment="1">
      <alignment horizontal="left" wrapText="1"/>
    </xf>
    <xf numFmtId="169" fontId="6" fillId="8" borderId="10" xfId="0" applyNumberFormat="1" applyFont="1" applyFill="1" applyBorder="1" applyAlignment="1">
      <alignment wrapText="1"/>
    </xf>
    <xf numFmtId="169" fontId="27" fillId="8" borderId="10" xfId="0" applyNumberFormat="1" applyFont="1" applyFill="1" applyBorder="1"/>
    <xf numFmtId="170" fontId="27" fillId="0" borderId="10" xfId="0" applyNumberFormat="1" applyFont="1" applyBorder="1"/>
    <xf numFmtId="0" fontId="27" fillId="0" borderId="10" xfId="0" applyFont="1" applyBorder="1"/>
    <xf numFmtId="0" fontId="36" fillId="0" borderId="10" xfId="0" applyFont="1" applyBorder="1" applyAlignment="1">
      <alignment horizontal="center" wrapText="1"/>
    </xf>
    <xf numFmtId="169" fontId="44" fillId="8" borderId="10" xfId="0" applyNumberFormat="1" applyFont="1" applyFill="1" applyBorder="1"/>
    <xf numFmtId="0" fontId="36" fillId="5" borderId="10" xfId="0" applyFont="1" applyFill="1" applyBorder="1" applyAlignment="1">
      <alignment horizontal="center"/>
    </xf>
    <xf numFmtId="170" fontId="6" fillId="0" borderId="10" xfId="0" applyNumberFormat="1" applyFont="1" applyBorder="1" applyAlignment="1">
      <alignment horizontal="center"/>
    </xf>
    <xf numFmtId="169" fontId="36" fillId="8" borderId="10" xfId="0" applyNumberFormat="1" applyFont="1" applyFill="1" applyBorder="1"/>
    <xf numFmtId="170" fontId="6" fillId="5" borderId="10" xfId="5" applyNumberFormat="1" applyFont="1" applyFill="1" applyBorder="1" applyAlignment="1">
      <alignment horizontal="center"/>
    </xf>
    <xf numFmtId="166" fontId="6" fillId="5" borderId="10" xfId="2" applyFont="1" applyFill="1" applyBorder="1" applyAlignment="1">
      <alignment horizontal="center"/>
    </xf>
    <xf numFmtId="169" fontId="6" fillId="0" borderId="10" xfId="0" applyNumberFormat="1" applyFont="1" applyBorder="1"/>
    <xf numFmtId="0" fontId="6" fillId="0" borderId="10" xfId="0" applyFont="1" applyBorder="1" applyAlignment="1">
      <alignment vertical="center"/>
    </xf>
    <xf numFmtId="0" fontId="6" fillId="8" borderId="10" xfId="0" applyFont="1" applyFill="1" applyBorder="1" applyAlignment="1">
      <alignment vertical="center" wrapText="1"/>
    </xf>
    <xf numFmtId="0" fontId="6" fillId="0" borderId="10" xfId="0" applyFont="1" applyBorder="1" applyAlignment="1">
      <alignment vertical="center" wrapText="1"/>
    </xf>
    <xf numFmtId="169" fontId="6" fillId="8" borderId="10" xfId="0" applyNumberFormat="1" applyFont="1" applyFill="1" applyBorder="1" applyAlignment="1">
      <alignment vertical="center" wrapText="1"/>
    </xf>
    <xf numFmtId="169" fontId="6" fillId="5" borderId="10" xfId="0" applyNumberFormat="1" applyFont="1" applyFill="1" applyBorder="1"/>
    <xf numFmtId="169" fontId="6" fillId="5" borderId="10" xfId="2" applyNumberFormat="1" applyFont="1" applyFill="1" applyBorder="1" applyAlignment="1">
      <alignment horizontal="right" vertical="center"/>
    </xf>
    <xf numFmtId="0" fontId="6" fillId="5" borderId="10" xfId="0" applyFont="1" applyFill="1" applyBorder="1" applyAlignment="1">
      <alignment horizontal="center" vertical="center" wrapText="1"/>
    </xf>
    <xf numFmtId="169" fontId="6" fillId="5" borderId="10" xfId="0" applyNumberFormat="1" applyFont="1" applyFill="1" applyBorder="1" applyAlignment="1">
      <alignment vertical="center"/>
    </xf>
    <xf numFmtId="9" fontId="6" fillId="5" borderId="10" xfId="5" applyFont="1" applyFill="1" applyBorder="1" applyAlignment="1">
      <alignment horizontal="right" vertical="center"/>
    </xf>
    <xf numFmtId="0" fontId="3" fillId="5" borderId="10" xfId="0" applyFont="1" applyFill="1" applyBorder="1" applyAlignment="1">
      <alignment wrapText="1"/>
    </xf>
    <xf numFmtId="0" fontId="6" fillId="5" borderId="10" xfId="0" applyFont="1" applyFill="1" applyBorder="1" applyAlignment="1">
      <alignment horizontal="right"/>
    </xf>
    <xf numFmtId="169" fontId="6" fillId="9" borderId="10" xfId="0" applyNumberFormat="1" applyFont="1" applyFill="1" applyBorder="1" applyAlignment="1">
      <alignment vertical="center"/>
    </xf>
    <xf numFmtId="169" fontId="6" fillId="8" borderId="10" xfId="0" applyNumberFormat="1" applyFont="1" applyFill="1" applyBorder="1" applyAlignment="1">
      <alignment vertical="center"/>
    </xf>
    <xf numFmtId="170" fontId="6" fillId="5" borderId="10" xfId="5" applyNumberFormat="1" applyFont="1" applyFill="1" applyBorder="1" applyAlignment="1">
      <alignment vertical="center"/>
    </xf>
    <xf numFmtId="0" fontId="6" fillId="0" borderId="47" xfId="0" applyFont="1" applyBorder="1"/>
    <xf numFmtId="0" fontId="26" fillId="0" borderId="48" xfId="0" applyFont="1" applyBorder="1" applyAlignment="1">
      <alignment wrapText="1"/>
    </xf>
    <xf numFmtId="0" fontId="26" fillId="0" borderId="48" xfId="0" applyFont="1" applyBorder="1" applyAlignment="1">
      <alignment horizontal="center" vertical="center" wrapText="1"/>
    </xf>
    <xf numFmtId="0" fontId="6" fillId="8" borderId="48" xfId="0" applyFont="1" applyFill="1" applyBorder="1"/>
    <xf numFmtId="170" fontId="6" fillId="0" borderId="48" xfId="0" applyNumberFormat="1" applyFont="1" applyBorder="1"/>
    <xf numFmtId="0" fontId="6" fillId="0" borderId="48" xfId="0" applyFont="1" applyBorder="1"/>
    <xf numFmtId="0" fontId="6" fillId="9" borderId="48" xfId="0" applyFont="1" applyFill="1" applyBorder="1"/>
    <xf numFmtId="0" fontId="6" fillId="0" borderId="40" xfId="0" applyFont="1" applyBorder="1"/>
    <xf numFmtId="0" fontId="6" fillId="0" borderId="42" xfId="0" applyFont="1" applyBorder="1"/>
    <xf numFmtId="0" fontId="6" fillId="0" borderId="41" xfId="0" applyFont="1" applyBorder="1"/>
    <xf numFmtId="1" fontId="6" fillId="0" borderId="41" xfId="0" quotePrefix="1" applyNumberFormat="1" applyFont="1" applyBorder="1" applyAlignment="1">
      <alignment horizontal="center"/>
    </xf>
    <xf numFmtId="0" fontId="6" fillId="0" borderId="41" xfId="0" applyFont="1" applyBorder="1" applyAlignment="1">
      <alignment horizontal="center"/>
    </xf>
    <xf numFmtId="1" fontId="6" fillId="5" borderId="41" xfId="0" quotePrefix="1" applyNumberFormat="1" applyFont="1" applyFill="1" applyBorder="1" applyAlignment="1">
      <alignment horizontal="center"/>
    </xf>
    <xf numFmtId="0" fontId="27" fillId="0" borderId="41" xfId="0" applyFont="1" applyBorder="1"/>
    <xf numFmtId="0" fontId="6" fillId="0" borderId="41" xfId="0" quotePrefix="1" applyFont="1" applyBorder="1" applyAlignment="1">
      <alignment horizontal="center"/>
    </xf>
    <xf numFmtId="0" fontId="3" fillId="0" borderId="42" xfId="0" applyFont="1" applyBorder="1"/>
    <xf numFmtId="0" fontId="3" fillId="0" borderId="43" xfId="0" applyFont="1" applyBorder="1"/>
    <xf numFmtId="0" fontId="6" fillId="0" borderId="44" xfId="0" applyFont="1" applyBorder="1" applyAlignment="1">
      <alignment wrapText="1"/>
    </xf>
    <xf numFmtId="0" fontId="6" fillId="0" borderId="44" xfId="0" applyFont="1" applyBorder="1" applyAlignment="1">
      <alignment horizontal="center" vertical="center" wrapText="1"/>
    </xf>
    <xf numFmtId="0" fontId="6" fillId="5" borderId="44" xfId="0" applyFont="1" applyFill="1" applyBorder="1"/>
    <xf numFmtId="0" fontId="6" fillId="8" borderId="44" xfId="0" applyFont="1" applyFill="1" applyBorder="1"/>
    <xf numFmtId="170" fontId="6" fillId="0" borderId="44" xfId="0" applyNumberFormat="1" applyFont="1" applyBorder="1"/>
    <xf numFmtId="0" fontId="6" fillId="0" borderId="44" xfId="0" applyFont="1" applyBorder="1"/>
    <xf numFmtId="0" fontId="6" fillId="9" borderId="44" xfId="0" applyFont="1" applyFill="1" applyBorder="1"/>
    <xf numFmtId="0" fontId="6" fillId="0" borderId="46" xfId="0" applyFont="1" applyBorder="1"/>
    <xf numFmtId="0" fontId="6" fillId="0" borderId="49" xfId="0" applyFont="1" applyBorder="1"/>
    <xf numFmtId="0" fontId="3" fillId="0" borderId="1" xfId="0" applyFont="1" applyBorder="1" applyAlignment="1">
      <alignment wrapText="1"/>
    </xf>
    <xf numFmtId="0" fontId="3" fillId="0" borderId="1" xfId="0" applyFont="1" applyBorder="1" applyAlignment="1">
      <alignment horizontal="center" vertical="center" wrapText="1"/>
    </xf>
    <xf numFmtId="169" fontId="6" fillId="8" borderId="1" xfId="0" applyNumberFormat="1" applyFont="1" applyFill="1" applyBorder="1"/>
    <xf numFmtId="170" fontId="6" fillId="0" borderId="1" xfId="0" applyNumberFormat="1" applyFont="1" applyBorder="1"/>
    <xf numFmtId="0" fontId="6" fillId="0" borderId="1" xfId="0" applyFont="1" applyBorder="1"/>
    <xf numFmtId="0" fontId="6" fillId="9" borderId="1" xfId="0" applyFont="1" applyFill="1" applyBorder="1"/>
    <xf numFmtId="0" fontId="6" fillId="0" borderId="50" xfId="0" applyFont="1" applyBorder="1"/>
    <xf numFmtId="0" fontId="3" fillId="0" borderId="51" xfId="0" applyFont="1" applyBorder="1" applyAlignment="1">
      <alignment wrapText="1"/>
    </xf>
    <xf numFmtId="0" fontId="3" fillId="0" borderId="51" xfId="0" applyFont="1" applyBorder="1" applyAlignment="1">
      <alignment horizontal="center" vertical="center" wrapText="1"/>
    </xf>
    <xf numFmtId="0" fontId="6" fillId="8" borderId="51" xfId="0" applyFont="1" applyFill="1" applyBorder="1"/>
    <xf numFmtId="170" fontId="6" fillId="0" borderId="51" xfId="0" applyNumberFormat="1" applyFont="1" applyBorder="1"/>
    <xf numFmtId="0" fontId="6" fillId="0" borderId="51" xfId="0" applyFont="1" applyBorder="1"/>
    <xf numFmtId="0" fontId="6" fillId="9" borderId="51" xfId="0" applyFont="1" applyFill="1" applyBorder="1"/>
    <xf numFmtId="0" fontId="19" fillId="0" borderId="49" xfId="0" applyFont="1" applyBorder="1"/>
    <xf numFmtId="0" fontId="36" fillId="0" borderId="51" xfId="0" applyFont="1" applyBorder="1" applyAlignment="1">
      <alignment horizontal="center" wrapText="1"/>
    </xf>
    <xf numFmtId="0" fontId="6" fillId="0" borderId="51" xfId="0" applyFont="1" applyBorder="1" applyAlignment="1">
      <alignment horizontal="center" vertical="center" wrapText="1"/>
    </xf>
    <xf numFmtId="0" fontId="26" fillId="0" borderId="1" xfId="0" applyFont="1" applyBorder="1" applyAlignment="1">
      <alignment wrapText="1"/>
    </xf>
    <xf numFmtId="0" fontId="26" fillId="0" borderId="1" xfId="0" applyFont="1" applyBorder="1" applyAlignment="1">
      <alignment horizontal="center" vertical="center" wrapText="1"/>
    </xf>
    <xf numFmtId="0" fontId="6" fillId="8" borderId="1" xfId="0" applyFont="1" applyFill="1" applyBorder="1"/>
    <xf numFmtId="169" fontId="6" fillId="8" borderId="51" xfId="0" applyNumberFormat="1" applyFont="1" applyFill="1" applyBorder="1"/>
    <xf numFmtId="0" fontId="28" fillId="0" borderId="10" xfId="0" applyFont="1" applyBorder="1" applyAlignment="1">
      <alignment horizontal="left" wrapText="1"/>
    </xf>
    <xf numFmtId="0" fontId="3" fillId="9" borderId="1" xfId="0" applyFont="1" applyFill="1" applyBorder="1" applyAlignment="1">
      <alignment horizontal="center"/>
    </xf>
    <xf numFmtId="0" fontId="6" fillId="0" borderId="51" xfId="0" applyFont="1" applyBorder="1" applyAlignment="1">
      <alignment wrapText="1"/>
    </xf>
    <xf numFmtId="0" fontId="6" fillId="0" borderId="52" xfId="0" applyFont="1" applyBorder="1"/>
    <xf numFmtId="0" fontId="6" fillId="0" borderId="53" xfId="0" applyFont="1" applyBorder="1"/>
    <xf numFmtId="169" fontId="6" fillId="5" borderId="1" xfId="0" applyNumberFormat="1" applyFont="1" applyFill="1" applyBorder="1" applyAlignment="1">
      <alignment vertical="center"/>
    </xf>
    <xf numFmtId="169" fontId="6" fillId="9" borderId="1" xfId="0" applyNumberFormat="1" applyFont="1" applyFill="1" applyBorder="1" applyAlignment="1">
      <alignment vertical="center"/>
    </xf>
    <xf numFmtId="0" fontId="3" fillId="0" borderId="49" xfId="0" applyFont="1" applyBorder="1"/>
    <xf numFmtId="0" fontId="6" fillId="0" borderId="1" xfId="0" applyFont="1" applyBorder="1" applyAlignment="1">
      <alignment wrapText="1"/>
    </xf>
    <xf numFmtId="169" fontId="6" fillId="8" borderId="1" xfId="0" applyNumberFormat="1" applyFont="1" applyFill="1" applyBorder="1" applyAlignment="1">
      <alignment vertical="center"/>
    </xf>
    <xf numFmtId="169" fontId="6" fillId="0" borderId="1" xfId="0" applyNumberFormat="1" applyFont="1" applyBorder="1"/>
    <xf numFmtId="169" fontId="6" fillId="8" borderId="1" xfId="0" applyNumberFormat="1" applyFont="1" applyFill="1" applyBorder="1" applyAlignment="1">
      <alignment wrapText="1"/>
    </xf>
    <xf numFmtId="170" fontId="6" fillId="0" borderId="1" xfId="5" applyNumberFormat="1" applyFont="1" applyBorder="1" applyAlignment="1">
      <alignment horizontal="center"/>
    </xf>
    <xf numFmtId="166" fontId="6" fillId="0" borderId="1" xfId="2" applyFont="1" applyBorder="1" applyAlignment="1">
      <alignment horizontal="center"/>
    </xf>
    <xf numFmtId="1" fontId="6" fillId="0" borderId="52" xfId="0" quotePrefix="1" applyNumberFormat="1" applyFont="1" applyBorder="1" applyAlignment="1">
      <alignment horizontal="center"/>
    </xf>
    <xf numFmtId="0" fontId="3" fillId="0" borderId="1" xfId="0" applyFont="1" applyBorder="1"/>
    <xf numFmtId="0" fontId="3" fillId="8" borderId="1" xfId="0" applyFont="1" applyFill="1" applyBorder="1" applyAlignment="1">
      <alignment horizontal="center"/>
    </xf>
    <xf numFmtId="170" fontId="3" fillId="0" borderId="1" xfId="0" applyNumberFormat="1" applyFont="1" applyBorder="1" applyAlignment="1">
      <alignment horizontal="center"/>
    </xf>
    <xf numFmtId="0" fontId="3" fillId="0" borderId="41" xfId="0" applyFont="1" applyBorder="1" applyAlignment="1">
      <alignment horizontal="center"/>
    </xf>
    <xf numFmtId="169" fontId="3" fillId="8" borderId="10" xfId="0" applyNumberFormat="1" applyFont="1" applyFill="1" applyBorder="1" applyAlignment="1">
      <alignment horizontal="center"/>
    </xf>
    <xf numFmtId="170" fontId="3" fillId="0" borderId="10" xfId="0" applyNumberFormat="1" applyFont="1" applyBorder="1" applyAlignment="1">
      <alignment horizontal="center"/>
    </xf>
    <xf numFmtId="0" fontId="3" fillId="8" borderId="10" xfId="0" applyFont="1" applyFill="1" applyBorder="1" applyAlignment="1">
      <alignment horizontal="center"/>
    </xf>
    <xf numFmtId="0" fontId="6" fillId="0" borderId="1" xfId="0" applyFont="1" applyBorder="1" applyAlignment="1">
      <alignment horizontal="center" vertical="center" wrapText="1"/>
    </xf>
    <xf numFmtId="0" fontId="6" fillId="5" borderId="1" xfId="0" applyFont="1" applyFill="1" applyBorder="1"/>
    <xf numFmtId="0" fontId="3" fillId="8" borderId="51" xfId="0" applyFont="1" applyFill="1" applyBorder="1" applyAlignment="1">
      <alignment horizontal="center"/>
    </xf>
    <xf numFmtId="170" fontId="3" fillId="0" borderId="51" xfId="0" applyNumberFormat="1" applyFont="1" applyBorder="1" applyAlignment="1">
      <alignment horizontal="center"/>
    </xf>
    <xf numFmtId="0" fontId="3" fillId="0" borderId="51" xfId="0" applyFont="1" applyBorder="1" applyAlignment="1">
      <alignment horizontal="center"/>
    </xf>
    <xf numFmtId="0" fontId="3" fillId="9" borderId="51" xfId="0" applyFont="1" applyFill="1" applyBorder="1" applyAlignment="1">
      <alignment horizontal="center"/>
    </xf>
    <xf numFmtId="0" fontId="3" fillId="0" borderId="53" xfId="0" applyFont="1" applyBorder="1" applyAlignment="1">
      <alignment horizontal="center"/>
    </xf>
    <xf numFmtId="0" fontId="3" fillId="0" borderId="1" xfId="0" applyFont="1" applyBorder="1" applyAlignment="1">
      <alignment horizontal="left" wrapText="1"/>
    </xf>
    <xf numFmtId="0" fontId="26" fillId="0" borderId="51" xfId="0" applyFont="1" applyBorder="1" applyAlignment="1">
      <alignment wrapText="1"/>
    </xf>
    <xf numFmtId="0" fontId="6" fillId="0" borderId="54" xfId="0" applyFont="1" applyBorder="1"/>
    <xf numFmtId="0" fontId="6" fillId="0" borderId="16" xfId="0" applyFont="1" applyBorder="1" applyAlignment="1">
      <alignment wrapText="1"/>
    </xf>
    <xf numFmtId="0" fontId="6" fillId="0" borderId="16" xfId="0" applyFont="1" applyBorder="1" applyAlignment="1">
      <alignment horizontal="center" vertical="center" wrapText="1"/>
    </xf>
    <xf numFmtId="1" fontId="6" fillId="0" borderId="55" xfId="0" quotePrefix="1" applyNumberFormat="1" applyFont="1" applyBorder="1" applyAlignment="1">
      <alignment horizontal="center"/>
    </xf>
    <xf numFmtId="0" fontId="32" fillId="5" borderId="0" xfId="0" applyFont="1" applyFill="1" applyAlignment="1">
      <alignment horizontal="left" vertical="center"/>
    </xf>
    <xf numFmtId="169" fontId="40" fillId="5" borderId="30" xfId="0" applyNumberFormat="1" applyFont="1" applyFill="1" applyBorder="1"/>
    <xf numFmtId="169" fontId="33" fillId="5" borderId="0" xfId="0" applyNumberFormat="1" applyFont="1" applyFill="1" applyAlignment="1">
      <alignment horizontal="right"/>
    </xf>
    <xf numFmtId="0" fontId="9" fillId="5" borderId="56" xfId="0" applyFont="1" applyFill="1" applyBorder="1" applyAlignment="1">
      <alignment horizontal="center"/>
    </xf>
    <xf numFmtId="169" fontId="40" fillId="5" borderId="2" xfId="0" applyNumberFormat="1" applyFont="1" applyFill="1" applyBorder="1"/>
    <xf numFmtId="0" fontId="40" fillId="5" borderId="0" xfId="0" applyFont="1" applyFill="1"/>
    <xf numFmtId="9" fontId="29" fillId="5" borderId="0" xfId="5" applyFont="1" applyFill="1" applyBorder="1"/>
    <xf numFmtId="10" fontId="32" fillId="11" borderId="11" xfId="0" applyNumberFormat="1" applyFont="1" applyFill="1" applyBorder="1" applyAlignment="1">
      <alignment horizontal="center"/>
    </xf>
    <xf numFmtId="0" fontId="29" fillId="7" borderId="36" xfId="2" applyNumberFormat="1" applyFont="1" applyFill="1" applyBorder="1"/>
    <xf numFmtId="1" fontId="6" fillId="5" borderId="41" xfId="0" quotePrefix="1" applyNumberFormat="1" applyFont="1" applyFill="1" applyBorder="1" applyAlignment="1">
      <alignment horizontal="center" vertical="center"/>
    </xf>
    <xf numFmtId="9" fontId="6" fillId="5" borderId="41" xfId="5" applyFont="1" applyFill="1" applyBorder="1" applyAlignment="1">
      <alignment vertical="center"/>
    </xf>
    <xf numFmtId="9" fontId="6" fillId="5" borderId="52" xfId="5" applyFont="1" applyFill="1" applyBorder="1" applyAlignment="1">
      <alignment vertical="center"/>
    </xf>
    <xf numFmtId="170" fontId="6" fillId="5" borderId="10" xfId="5" applyNumberFormat="1" applyFont="1" applyFill="1" applyBorder="1" applyAlignment="1">
      <alignment horizontal="center" vertical="center"/>
    </xf>
    <xf numFmtId="170" fontId="6" fillId="5" borderId="1" xfId="5" applyNumberFormat="1" applyFont="1" applyFill="1" applyBorder="1" applyAlignment="1">
      <alignment vertical="center"/>
    </xf>
    <xf numFmtId="0" fontId="9" fillId="5" borderId="29" xfId="0" applyFont="1" applyFill="1" applyBorder="1" applyAlignment="1">
      <alignment horizontal="center" vertical="center"/>
    </xf>
    <xf numFmtId="170" fontId="7" fillId="5" borderId="10" xfId="0" quotePrefix="1" applyNumberFormat="1" applyFont="1" applyFill="1" applyBorder="1" applyAlignment="1">
      <alignment horizontal="center" wrapText="1"/>
    </xf>
    <xf numFmtId="169" fontId="32" fillId="5" borderId="6" xfId="0" applyNumberFormat="1" applyFont="1" applyFill="1" applyBorder="1"/>
    <xf numFmtId="0" fontId="6" fillId="0" borderId="10" xfId="0" applyFont="1" applyBorder="1" applyAlignment="1">
      <alignment horizontal="left" vertical="center" wrapText="1"/>
    </xf>
    <xf numFmtId="169" fontId="6" fillId="8" borderId="44" xfId="0" applyNumberFormat="1" applyFont="1" applyFill="1" applyBorder="1"/>
    <xf numFmtId="170" fontId="6" fillId="0" borderId="44" xfId="5" applyNumberFormat="1" applyFont="1" applyBorder="1" applyAlignment="1">
      <alignment horizontal="center"/>
    </xf>
    <xf numFmtId="166" fontId="6" fillId="0" borderId="44" xfId="2" applyFont="1" applyBorder="1" applyAlignment="1">
      <alignment horizontal="center"/>
    </xf>
    <xf numFmtId="1" fontId="6" fillId="0" borderId="46" xfId="0" quotePrefix="1" applyNumberFormat="1" applyFont="1" applyBorder="1" applyAlignment="1">
      <alignment horizontal="center"/>
    </xf>
    <xf numFmtId="0" fontId="6" fillId="0" borderId="43" xfId="0" applyFont="1" applyBorder="1"/>
    <xf numFmtId="0" fontId="3" fillId="0" borderId="44" xfId="0" applyFont="1" applyBorder="1" applyAlignment="1">
      <alignment wrapText="1"/>
    </xf>
    <xf numFmtId="0" fontId="3" fillId="0" borderId="44" xfId="0" applyFont="1" applyBorder="1" applyAlignment="1">
      <alignment horizontal="center" vertical="center" wrapText="1"/>
    </xf>
    <xf numFmtId="0" fontId="6" fillId="0" borderId="46" xfId="0" applyFont="1" applyBorder="1" applyAlignment="1">
      <alignment horizontal="center"/>
    </xf>
    <xf numFmtId="0" fontId="3" fillId="8" borderId="48" xfId="0" applyFont="1" applyFill="1" applyBorder="1" applyAlignment="1">
      <alignment horizontal="center"/>
    </xf>
    <xf numFmtId="170" fontId="3" fillId="0" borderId="48" xfId="0" applyNumberFormat="1" applyFont="1" applyBorder="1" applyAlignment="1">
      <alignment horizontal="center"/>
    </xf>
    <xf numFmtId="0" fontId="3" fillId="9" borderId="48" xfId="0" applyFont="1" applyFill="1" applyBorder="1" applyAlignment="1">
      <alignment horizontal="center"/>
    </xf>
    <xf numFmtId="0" fontId="3" fillId="0" borderId="40" xfId="0" applyFont="1" applyBorder="1" applyAlignment="1">
      <alignment horizontal="center"/>
    </xf>
    <xf numFmtId="0" fontId="6" fillId="0" borderId="46" xfId="0" quotePrefix="1" applyFont="1" applyBorder="1" applyAlignment="1">
      <alignment horizontal="center"/>
    </xf>
    <xf numFmtId="0" fontId="36" fillId="5" borderId="44" xfId="0" applyFont="1" applyFill="1" applyBorder="1" applyAlignment="1">
      <alignment horizontal="center"/>
    </xf>
    <xf numFmtId="0" fontId="3" fillId="0" borderId="48" xfId="0" applyFont="1" applyBorder="1" applyAlignment="1">
      <alignment horizontal="center" vertical="center" wrapText="1"/>
    </xf>
    <xf numFmtId="169" fontId="6" fillId="0" borderId="44" xfId="0" applyNumberFormat="1" applyFont="1" applyBorder="1"/>
    <xf numFmtId="169" fontId="6" fillId="8" borderId="44" xfId="0" applyNumberFormat="1" applyFont="1" applyFill="1" applyBorder="1" applyAlignment="1">
      <alignment wrapText="1"/>
    </xf>
    <xf numFmtId="0" fontId="6" fillId="8" borderId="10" xfId="0" applyFont="1" applyFill="1" applyBorder="1" applyAlignment="1">
      <alignment vertical="center"/>
    </xf>
    <xf numFmtId="169" fontId="6" fillId="8" borderId="10" xfId="0" applyNumberFormat="1" applyFont="1" applyFill="1" applyBorder="1" applyAlignment="1">
      <alignment horizontal="right" vertical="center"/>
    </xf>
    <xf numFmtId="169" fontId="6" fillId="9" borderId="10" xfId="0" applyNumberFormat="1" applyFont="1" applyFill="1" applyBorder="1"/>
    <xf numFmtId="169" fontId="6" fillId="9" borderId="10" xfId="0" applyNumberFormat="1" applyFont="1" applyFill="1" applyBorder="1" applyAlignment="1">
      <alignment wrapText="1"/>
    </xf>
    <xf numFmtId="169" fontId="6" fillId="9" borderId="51" xfId="0" applyNumberFormat="1" applyFont="1" applyFill="1" applyBorder="1"/>
    <xf numFmtId="169" fontId="6" fillId="9" borderId="1" xfId="0" applyNumberFormat="1" applyFont="1" applyFill="1" applyBorder="1"/>
    <xf numFmtId="169" fontId="27" fillId="9" borderId="10" xfId="0" applyNumberFormat="1" applyFont="1" applyFill="1" applyBorder="1"/>
    <xf numFmtId="169" fontId="44" fillId="9" borderId="10" xfId="0" applyNumberFormat="1" applyFont="1" applyFill="1" applyBorder="1"/>
    <xf numFmtId="169" fontId="36" fillId="9" borderId="10" xfId="0" applyNumberFormat="1" applyFont="1" applyFill="1" applyBorder="1"/>
    <xf numFmtId="169" fontId="6" fillId="9" borderId="44" xfId="0" applyNumberFormat="1" applyFont="1" applyFill="1" applyBorder="1"/>
    <xf numFmtId="0" fontId="6" fillId="9" borderId="10" xfId="0" applyFont="1" applyFill="1" applyBorder="1" applyAlignment="1">
      <alignment vertical="center" wrapText="1"/>
    </xf>
    <xf numFmtId="169" fontId="6" fillId="9" borderId="44" xfId="0" applyNumberFormat="1" applyFont="1" applyFill="1" applyBorder="1" applyAlignment="1">
      <alignment wrapText="1"/>
    </xf>
    <xf numFmtId="169" fontId="6" fillId="9" borderId="1" xfId="0" applyNumberFormat="1" applyFont="1" applyFill="1" applyBorder="1" applyAlignment="1">
      <alignment wrapText="1"/>
    </xf>
    <xf numFmtId="169" fontId="6" fillId="9" borderId="10" xfId="0" applyNumberFormat="1" applyFont="1" applyFill="1" applyBorder="1" applyAlignment="1">
      <alignment horizontal="right" vertical="center"/>
    </xf>
    <xf numFmtId="0" fontId="9" fillId="5" borderId="9" xfId="0" applyFont="1" applyFill="1" applyBorder="1" applyAlignment="1">
      <alignment horizontal="center"/>
    </xf>
    <xf numFmtId="9" fontId="6" fillId="0" borderId="10" xfId="5" applyFont="1" applyBorder="1" applyAlignment="1">
      <alignment horizontal="center"/>
    </xf>
    <xf numFmtId="0" fontId="30" fillId="4" borderId="0" xfId="3" applyFont="1" applyBorder="1"/>
    <xf numFmtId="0" fontId="6" fillId="0" borderId="24" xfId="0" applyFont="1" applyBorder="1"/>
    <xf numFmtId="0" fontId="6" fillId="0" borderId="32" xfId="0" applyFont="1" applyBorder="1"/>
    <xf numFmtId="0" fontId="6" fillId="0" borderId="57" xfId="0" applyFont="1" applyBorder="1"/>
    <xf numFmtId="0" fontId="36" fillId="0" borderId="58" xfId="0" applyFont="1" applyBorder="1" applyAlignment="1">
      <alignment horizontal="center" wrapText="1"/>
    </xf>
    <xf numFmtId="0" fontId="6" fillId="0" borderId="58" xfId="0" applyFont="1" applyBorder="1" applyAlignment="1">
      <alignment horizontal="center" vertical="center" wrapText="1"/>
    </xf>
    <xf numFmtId="0" fontId="6" fillId="8" borderId="58" xfId="0" applyFont="1" applyFill="1" applyBorder="1"/>
    <xf numFmtId="0" fontId="6" fillId="9" borderId="58" xfId="0" applyFont="1" applyFill="1" applyBorder="1"/>
    <xf numFmtId="170" fontId="6" fillId="0" borderId="58" xfId="0" applyNumberFormat="1" applyFont="1" applyBorder="1"/>
    <xf numFmtId="0" fontId="6" fillId="0" borderId="58" xfId="0" applyFont="1" applyBorder="1"/>
    <xf numFmtId="0" fontId="6" fillId="0" borderId="59" xfId="0" applyFont="1" applyBorder="1"/>
    <xf numFmtId="0" fontId="26" fillId="0" borderId="58" xfId="0" applyFont="1" applyBorder="1" applyAlignment="1">
      <alignment wrapText="1"/>
    </xf>
    <xf numFmtId="0" fontId="3" fillId="0" borderId="60" xfId="0" applyFont="1" applyBorder="1" applyAlignment="1">
      <alignment wrapText="1"/>
    </xf>
    <xf numFmtId="0" fontId="30" fillId="6" borderId="48" xfId="3" applyFont="1" applyFill="1" applyBorder="1"/>
    <xf numFmtId="0" fontId="30" fillId="6" borderId="40" xfId="3" applyFont="1" applyFill="1" applyBorder="1"/>
    <xf numFmtId="0" fontId="30" fillId="6" borderId="10" xfId="3" applyFont="1" applyFill="1" applyBorder="1" applyAlignment="1">
      <alignment horizontal="center"/>
    </xf>
    <xf numFmtId="0" fontId="30" fillId="6" borderId="41" xfId="3" applyFont="1" applyFill="1" applyBorder="1" applyAlignment="1">
      <alignment horizontal="center"/>
    </xf>
    <xf numFmtId="0" fontId="30" fillId="6" borderId="51" xfId="3" applyFont="1" applyFill="1" applyBorder="1" applyAlignment="1">
      <alignment horizontal="center"/>
    </xf>
    <xf numFmtId="0" fontId="30" fillId="6" borderId="53" xfId="3" applyFont="1" applyFill="1" applyBorder="1" applyAlignment="1">
      <alignment horizontal="center"/>
    </xf>
    <xf numFmtId="0" fontId="30" fillId="6" borderId="1" xfId="3" applyFont="1" applyFill="1" applyBorder="1"/>
    <xf numFmtId="0" fontId="30" fillId="6" borderId="52" xfId="3" applyFont="1" applyFill="1" applyBorder="1"/>
    <xf numFmtId="0" fontId="30" fillId="6" borderId="10" xfId="3" applyFont="1" applyFill="1" applyBorder="1"/>
    <xf numFmtId="0" fontId="30" fillId="6" borderId="41" xfId="3" applyFont="1" applyFill="1" applyBorder="1"/>
    <xf numFmtId="169" fontId="30" fillId="6" borderId="10" xfId="3" applyNumberFormat="1" applyFont="1" applyFill="1" applyBorder="1" applyAlignment="1">
      <alignment horizontal="center"/>
    </xf>
    <xf numFmtId="169" fontId="30" fillId="6" borderId="41" xfId="3" applyNumberFormat="1" applyFont="1" applyFill="1" applyBorder="1" applyAlignment="1">
      <alignment horizontal="center"/>
    </xf>
    <xf numFmtId="170" fontId="30" fillId="6" borderId="10" xfId="3" applyNumberFormat="1" applyFont="1" applyFill="1" applyBorder="1" applyAlignment="1">
      <alignment horizontal="center"/>
    </xf>
    <xf numFmtId="170" fontId="30" fillId="6" borderId="41" xfId="3" applyNumberFormat="1" applyFont="1" applyFill="1" applyBorder="1" applyAlignment="1">
      <alignment horizontal="center"/>
    </xf>
    <xf numFmtId="0" fontId="30" fillId="6" borderId="44" xfId="3" applyFont="1" applyFill="1" applyBorder="1"/>
    <xf numFmtId="0" fontId="30" fillId="6" borderId="46" xfId="3" applyFont="1" applyFill="1" applyBorder="1"/>
    <xf numFmtId="0" fontId="30" fillId="6" borderId="51" xfId="3" applyFont="1" applyFill="1" applyBorder="1"/>
    <xf numFmtId="0" fontId="30" fillId="6" borderId="53" xfId="3" applyFont="1" applyFill="1" applyBorder="1"/>
    <xf numFmtId="0" fontId="30" fillId="6" borderId="58" xfId="3" applyFont="1" applyFill="1" applyBorder="1"/>
    <xf numFmtId="0" fontId="30" fillId="6" borderId="61" xfId="3" applyFont="1" applyFill="1" applyBorder="1"/>
    <xf numFmtId="169" fontId="30" fillId="6" borderId="44" xfId="3" applyNumberFormat="1" applyFont="1" applyFill="1" applyBorder="1" applyAlignment="1">
      <alignment horizontal="center"/>
    </xf>
    <xf numFmtId="169" fontId="30" fillId="6" borderId="46" xfId="3" applyNumberFormat="1" applyFont="1" applyFill="1" applyBorder="1" applyAlignment="1">
      <alignment horizontal="center"/>
    </xf>
    <xf numFmtId="169" fontId="30" fillId="6" borderId="1" xfId="3" applyNumberFormat="1" applyFont="1" applyFill="1" applyBorder="1" applyAlignment="1">
      <alignment horizontal="center"/>
    </xf>
    <xf numFmtId="169" fontId="30" fillId="6" borderId="52" xfId="3" applyNumberFormat="1" applyFont="1" applyFill="1" applyBorder="1" applyAlignment="1">
      <alignment horizontal="center"/>
    </xf>
    <xf numFmtId="9" fontId="30" fillId="6" borderId="10" xfId="3" applyNumberFormat="1" applyFont="1" applyFill="1" applyBorder="1" applyAlignment="1">
      <alignment horizontal="right" vertical="center"/>
    </xf>
    <xf numFmtId="9" fontId="30" fillId="6" borderId="41" xfId="3" applyNumberFormat="1" applyFont="1" applyFill="1" applyBorder="1" applyAlignment="1">
      <alignment horizontal="right" vertical="center"/>
    </xf>
    <xf numFmtId="0" fontId="30" fillId="6" borderId="10" xfId="3" applyFont="1" applyFill="1" applyBorder="1" applyAlignment="1">
      <alignment horizontal="right"/>
    </xf>
    <xf numFmtId="0" fontId="30" fillId="6" borderId="41" xfId="3" applyFont="1" applyFill="1" applyBorder="1" applyAlignment="1">
      <alignment horizontal="right"/>
    </xf>
    <xf numFmtId="169" fontId="30" fillId="6" borderId="10" xfId="3" applyNumberFormat="1" applyFont="1" applyFill="1" applyBorder="1" applyAlignment="1">
      <alignment vertical="center"/>
    </xf>
    <xf numFmtId="169" fontId="30" fillId="6" borderId="41" xfId="3" applyNumberFormat="1" applyFont="1" applyFill="1" applyBorder="1" applyAlignment="1">
      <alignment vertical="center"/>
    </xf>
    <xf numFmtId="169" fontId="30" fillId="6" borderId="1" xfId="3" applyNumberFormat="1" applyFont="1" applyFill="1" applyBorder="1" applyAlignment="1">
      <alignment vertical="center"/>
    </xf>
    <xf numFmtId="169" fontId="30" fillId="6" borderId="52" xfId="3" applyNumberFormat="1" applyFont="1" applyFill="1" applyBorder="1" applyAlignment="1">
      <alignment vertical="center"/>
    </xf>
    <xf numFmtId="0" fontId="0" fillId="5" borderId="23" xfId="0" applyFill="1" applyBorder="1"/>
    <xf numFmtId="0" fontId="7" fillId="5" borderId="24" xfId="0" applyFont="1" applyFill="1" applyBorder="1"/>
    <xf numFmtId="0" fontId="6" fillId="5" borderId="24" xfId="0" applyFont="1" applyFill="1" applyBorder="1"/>
    <xf numFmtId="0" fontId="0" fillId="5" borderId="24" xfId="0" applyFill="1" applyBorder="1"/>
    <xf numFmtId="0" fontId="0" fillId="5" borderId="25" xfId="0" applyFill="1" applyBorder="1"/>
    <xf numFmtId="0" fontId="0" fillId="5" borderId="26" xfId="0" applyFill="1" applyBorder="1"/>
    <xf numFmtId="0" fontId="11" fillId="5" borderId="27" xfId="0" applyFont="1" applyFill="1" applyBorder="1" applyAlignment="1">
      <alignment horizontal="center"/>
    </xf>
    <xf numFmtId="0" fontId="9" fillId="5" borderId="62" xfId="0" applyFont="1" applyFill="1" applyBorder="1"/>
    <xf numFmtId="0" fontId="9" fillId="5" borderId="63" xfId="0" applyFont="1" applyFill="1" applyBorder="1"/>
    <xf numFmtId="169" fontId="33" fillId="5" borderId="27" xfId="0" applyNumberFormat="1" applyFont="1" applyFill="1" applyBorder="1" applyAlignment="1">
      <alignment horizontal="center"/>
    </xf>
    <xf numFmtId="0" fontId="9" fillId="5" borderId="64" xfId="0" applyFont="1" applyFill="1" applyBorder="1"/>
    <xf numFmtId="0" fontId="9" fillId="5" borderId="65" xfId="0" applyFont="1" applyFill="1" applyBorder="1"/>
    <xf numFmtId="0" fontId="11" fillId="5" borderId="27" xfId="0" applyFont="1" applyFill="1" applyBorder="1"/>
    <xf numFmtId="0" fontId="7" fillId="5" borderId="27" xfId="0" applyFont="1" applyFill="1" applyBorder="1"/>
    <xf numFmtId="170" fontId="9" fillId="5" borderId="0" xfId="0" applyNumberFormat="1" applyFont="1" applyFill="1"/>
    <xf numFmtId="170" fontId="9" fillId="5" borderId="27" xfId="0" applyNumberFormat="1" applyFont="1" applyFill="1" applyBorder="1"/>
    <xf numFmtId="170" fontId="7" fillId="5" borderId="65" xfId="5" applyNumberFormat="1" applyFont="1" applyFill="1" applyBorder="1"/>
    <xf numFmtId="169" fontId="17" fillId="5" borderId="27" xfId="0" applyNumberFormat="1" applyFont="1" applyFill="1" applyBorder="1"/>
    <xf numFmtId="0" fontId="30" fillId="0" borderId="0" xfId="0" applyFont="1"/>
    <xf numFmtId="169" fontId="33" fillId="5" borderId="27" xfId="0" applyNumberFormat="1" applyFont="1" applyFill="1" applyBorder="1" applyAlignment="1">
      <alignment horizontal="right"/>
    </xf>
    <xf numFmtId="0" fontId="7" fillId="5" borderId="26" xfId="0" applyFont="1" applyFill="1" applyBorder="1"/>
    <xf numFmtId="169" fontId="34" fillId="5" borderId="27" xfId="0" applyNumberFormat="1" applyFont="1" applyFill="1" applyBorder="1"/>
    <xf numFmtId="0" fontId="0" fillId="5" borderId="31" xfId="0" applyFill="1" applyBorder="1"/>
    <xf numFmtId="0" fontId="0" fillId="5" borderId="32" xfId="0" applyFill="1" applyBorder="1"/>
    <xf numFmtId="0" fontId="0" fillId="5" borderId="33" xfId="0" applyFill="1" applyBorder="1"/>
    <xf numFmtId="0" fontId="8" fillId="0" borderId="24" xfId="0" applyFont="1" applyBorder="1"/>
    <xf numFmtId="2" fontId="0" fillId="0" borderId="25" xfId="0" applyNumberFormat="1" applyBorder="1"/>
    <xf numFmtId="0" fontId="7" fillId="0" borderId="0" xfId="0" applyFont="1"/>
    <xf numFmtId="2" fontId="0" fillId="0" borderId="27" xfId="0" applyNumberFormat="1" applyBorder="1"/>
    <xf numFmtId="0" fontId="9" fillId="0" borderId="62" xfId="0" applyFont="1" applyBorder="1"/>
    <xf numFmtId="0" fontId="9" fillId="0" borderId="26" xfId="0" applyFont="1" applyBorder="1"/>
    <xf numFmtId="0" fontId="9" fillId="0" borderId="66" xfId="0" applyFont="1" applyBorder="1"/>
    <xf numFmtId="2" fontId="3" fillId="0" borderId="27" xfId="0" applyNumberFormat="1" applyFont="1" applyBorder="1"/>
    <xf numFmtId="0" fontId="9" fillId="0" borderId="67" xfId="0" applyFont="1" applyBorder="1"/>
    <xf numFmtId="0" fontId="9" fillId="0" borderId="42" xfId="0" applyFont="1" applyBorder="1"/>
    <xf numFmtId="0" fontId="0" fillId="0" borderId="27" xfId="0" applyBorder="1"/>
    <xf numFmtId="0" fontId="6" fillId="0" borderId="27" xfId="0" applyFont="1" applyBorder="1"/>
    <xf numFmtId="169" fontId="0" fillId="0" borderId="27" xfId="0" applyNumberFormat="1" applyBorder="1"/>
    <xf numFmtId="0" fontId="0" fillId="0" borderId="42" xfId="0" applyBorder="1"/>
    <xf numFmtId="2" fontId="0" fillId="0" borderId="27" xfId="5" applyNumberFormat="1" applyFont="1" applyBorder="1"/>
    <xf numFmtId="0" fontId="9" fillId="0" borderId="68" xfId="0" applyFont="1" applyBorder="1"/>
    <xf numFmtId="0" fontId="9" fillId="0" borderId="69" xfId="0" applyFont="1" applyBorder="1"/>
    <xf numFmtId="2" fontId="6" fillId="0" borderId="27" xfId="0" applyNumberFormat="1" applyFont="1" applyBorder="1"/>
    <xf numFmtId="0" fontId="9" fillId="0" borderId="49" xfId="0" applyFont="1" applyBorder="1"/>
    <xf numFmtId="2" fontId="36" fillId="0" borderId="27" xfId="0" applyNumberFormat="1" applyFont="1" applyBorder="1"/>
    <xf numFmtId="0" fontId="9" fillId="0" borderId="54" xfId="0" applyFont="1" applyBorder="1"/>
    <xf numFmtId="0" fontId="10" fillId="0" borderId="42" xfId="0" applyFont="1" applyBorder="1" applyAlignment="1">
      <alignment horizontal="center"/>
    </xf>
    <xf numFmtId="0" fontId="3" fillId="2" borderId="67" xfId="0" applyFont="1" applyFill="1" applyBorder="1"/>
    <xf numFmtId="0" fontId="3" fillId="0" borderId="67" xfId="0" applyFont="1" applyBorder="1"/>
    <xf numFmtId="0" fontId="6" fillId="0" borderId="45" xfId="0" applyFont="1" applyBorder="1"/>
    <xf numFmtId="169" fontId="0" fillId="0" borderId="44" xfId="0" applyNumberFormat="1" applyBorder="1"/>
    <xf numFmtId="169" fontId="6" fillId="0" borderId="44" xfId="0" applyNumberFormat="1" applyFont="1" applyBorder="1" applyAlignment="1">
      <alignment horizontal="center"/>
    </xf>
    <xf numFmtId="169" fontId="3" fillId="0" borderId="70" xfId="0" applyNumberFormat="1" applyFont="1" applyBorder="1" applyAlignment="1">
      <alignment horizontal="center"/>
    </xf>
    <xf numFmtId="0" fontId="0" fillId="0" borderId="32" xfId="0" applyBorder="1"/>
    <xf numFmtId="2" fontId="0" fillId="0" borderId="33" xfId="0" applyNumberFormat="1" applyBorder="1"/>
    <xf numFmtId="0" fontId="9" fillId="0" borderId="1" xfId="0" applyFont="1" applyBorder="1"/>
    <xf numFmtId="0" fontId="46" fillId="0" borderId="47" xfId="0" applyFont="1" applyBorder="1" applyAlignment="1">
      <alignment wrapText="1"/>
    </xf>
    <xf numFmtId="0" fontId="46" fillId="0" borderId="42" xfId="0" applyFont="1" applyBorder="1" applyAlignment="1">
      <alignment wrapText="1"/>
    </xf>
    <xf numFmtId="0" fontId="46" fillId="0" borderId="48" xfId="0" applyFont="1" applyBorder="1" applyAlignment="1">
      <alignment wrapText="1"/>
    </xf>
    <xf numFmtId="9" fontId="0" fillId="0" borderId="10" xfId="0" applyNumberFormat="1" applyBorder="1" applyAlignment="1">
      <alignment wrapText="1"/>
    </xf>
    <xf numFmtId="0" fontId="46" fillId="0" borderId="40" xfId="0" applyFont="1" applyBorder="1" applyAlignment="1">
      <alignment wrapText="1"/>
    </xf>
    <xf numFmtId="9" fontId="0" fillId="0" borderId="41" xfId="0" applyNumberFormat="1" applyBorder="1" applyAlignment="1">
      <alignment wrapText="1"/>
    </xf>
    <xf numFmtId="10" fontId="34" fillId="0" borderId="10" xfId="0" applyNumberFormat="1" applyFont="1" applyBorder="1"/>
    <xf numFmtId="9" fontId="36" fillId="0" borderId="10" xfId="0" applyNumberFormat="1" applyFont="1" applyBorder="1" applyAlignment="1">
      <alignment wrapText="1"/>
    </xf>
    <xf numFmtId="9" fontId="0" fillId="0" borderId="0" xfId="5" applyFont="1"/>
    <xf numFmtId="167" fontId="0" fillId="0" borderId="10" xfId="1" applyFont="1" applyBorder="1" applyAlignment="1">
      <alignment wrapText="1"/>
    </xf>
    <xf numFmtId="168" fontId="6" fillId="0" borderId="0" xfId="0" applyNumberFormat="1" applyFont="1"/>
    <xf numFmtId="9" fontId="36" fillId="0" borderId="0" xfId="5" applyFont="1"/>
    <xf numFmtId="9" fontId="48" fillId="0" borderId="0" xfId="5" applyFont="1"/>
    <xf numFmtId="0" fontId="48" fillId="0" borderId="0" xfId="0" applyFont="1"/>
    <xf numFmtId="9" fontId="0" fillId="5" borderId="0" xfId="5" applyFont="1" applyFill="1"/>
    <xf numFmtId="169" fontId="32" fillId="5" borderId="13" xfId="0" applyNumberFormat="1" applyFont="1" applyFill="1" applyBorder="1"/>
    <xf numFmtId="170" fontId="44" fillId="5" borderId="10" xfId="5" applyNumberFormat="1" applyFont="1" applyFill="1" applyBorder="1" applyAlignment="1">
      <alignment horizontal="center" vertical="center"/>
    </xf>
    <xf numFmtId="169" fontId="44" fillId="8" borderId="10" xfId="0" applyNumberFormat="1" applyFont="1" applyFill="1" applyBorder="1" applyAlignment="1">
      <alignment vertical="center"/>
    </xf>
    <xf numFmtId="169" fontId="44" fillId="8" borderId="10" xfId="0" applyNumberFormat="1" applyFont="1" applyFill="1" applyBorder="1" applyAlignment="1">
      <alignment horizontal="right" vertical="center"/>
    </xf>
    <xf numFmtId="169" fontId="44" fillId="9" borderId="16" xfId="0" applyNumberFormat="1" applyFont="1" applyFill="1" applyBorder="1"/>
    <xf numFmtId="0" fontId="2" fillId="0" borderId="10" xfId="0" applyFont="1" applyBorder="1" applyAlignment="1">
      <alignment wrapText="1"/>
    </xf>
    <xf numFmtId="0" fontId="26" fillId="12" borderId="48" xfId="0" applyFont="1" applyFill="1" applyBorder="1" applyAlignment="1">
      <alignment horizontal="center"/>
    </xf>
    <xf numFmtId="0" fontId="3" fillId="12" borderId="10" xfId="0" applyFont="1" applyFill="1" applyBorder="1" applyAlignment="1">
      <alignment horizontal="center"/>
    </xf>
    <xf numFmtId="0" fontId="3" fillId="12" borderId="51" xfId="0" applyFont="1" applyFill="1" applyBorder="1" applyAlignment="1">
      <alignment horizontal="center"/>
    </xf>
    <xf numFmtId="0" fontId="6" fillId="12" borderId="1" xfId="0" applyFont="1" applyFill="1" applyBorder="1"/>
    <xf numFmtId="0" fontId="6" fillId="12" borderId="10" xfId="0" applyFont="1" applyFill="1" applyBorder="1" applyAlignment="1">
      <alignment vertical="center"/>
    </xf>
    <xf numFmtId="0" fontId="6" fillId="12" borderId="10" xfId="0" applyFont="1" applyFill="1" applyBorder="1"/>
    <xf numFmtId="169" fontId="6" fillId="12" borderId="10" xfId="0" applyNumberFormat="1" applyFont="1" applyFill="1" applyBorder="1"/>
    <xf numFmtId="169" fontId="36" fillId="12" borderId="10" xfId="0" applyNumberFormat="1" applyFont="1" applyFill="1" applyBorder="1"/>
    <xf numFmtId="169" fontId="6" fillId="12" borderId="10" xfId="0" applyNumberFormat="1" applyFont="1" applyFill="1" applyBorder="1" applyAlignment="1">
      <alignment wrapText="1"/>
    </xf>
    <xf numFmtId="0" fontId="6" fillId="12" borderId="44" xfId="0" applyFont="1" applyFill="1" applyBorder="1"/>
    <xf numFmtId="169" fontId="6" fillId="12" borderId="1" xfId="0" applyNumberFormat="1" applyFont="1" applyFill="1" applyBorder="1"/>
    <xf numFmtId="169" fontId="27" fillId="12" borderId="10" xfId="0" applyNumberFormat="1" applyFont="1" applyFill="1" applyBorder="1"/>
    <xf numFmtId="0" fontId="6" fillId="12" borderId="51" xfId="0" applyFont="1" applyFill="1" applyBorder="1"/>
    <xf numFmtId="0" fontId="6" fillId="12" borderId="58" xfId="0" applyFont="1" applyFill="1" applyBorder="1"/>
    <xf numFmtId="0" fontId="3" fillId="12" borderId="48" xfId="0" applyFont="1" applyFill="1" applyBorder="1" applyAlignment="1">
      <alignment horizontal="center"/>
    </xf>
    <xf numFmtId="0" fontId="3" fillId="12" borderId="1" xfId="0" applyFont="1" applyFill="1" applyBorder="1" applyAlignment="1">
      <alignment horizontal="center"/>
    </xf>
    <xf numFmtId="169" fontId="3" fillId="12" borderId="10" xfId="0" applyNumberFormat="1" applyFont="1" applyFill="1" applyBorder="1" applyAlignment="1">
      <alignment horizontal="center"/>
    </xf>
    <xf numFmtId="169" fontId="6" fillId="12" borderId="51" xfId="0" applyNumberFormat="1" applyFont="1" applyFill="1" applyBorder="1"/>
    <xf numFmtId="169" fontId="44" fillId="12" borderId="10" xfId="0" applyNumberFormat="1" applyFont="1" applyFill="1" applyBorder="1"/>
    <xf numFmtId="0" fontId="6" fillId="12" borderId="48" xfId="0" applyFont="1" applyFill="1" applyBorder="1"/>
    <xf numFmtId="169" fontId="44" fillId="12" borderId="16" xfId="0" applyNumberFormat="1" applyFont="1" applyFill="1" applyBorder="1"/>
    <xf numFmtId="169" fontId="6" fillId="12" borderId="44" xfId="0" applyNumberFormat="1" applyFont="1" applyFill="1" applyBorder="1"/>
    <xf numFmtId="0" fontId="6" fillId="12" borderId="10" xfId="0" applyFont="1" applyFill="1" applyBorder="1" applyAlignment="1">
      <alignment vertical="center" wrapText="1"/>
    </xf>
    <xf numFmtId="169" fontId="6" fillId="12" borderId="10" xfId="0" applyNumberFormat="1" applyFont="1" applyFill="1" applyBorder="1" applyAlignment="1">
      <alignment vertical="center" wrapText="1"/>
    </xf>
    <xf numFmtId="169" fontId="6" fillId="12" borderId="44" xfId="0" applyNumberFormat="1" applyFont="1" applyFill="1" applyBorder="1" applyAlignment="1">
      <alignment wrapText="1"/>
    </xf>
    <xf numFmtId="169" fontId="6" fillId="12" borderId="1" xfId="0" applyNumberFormat="1" applyFont="1" applyFill="1" applyBorder="1" applyAlignment="1">
      <alignment wrapText="1"/>
    </xf>
    <xf numFmtId="169" fontId="6" fillId="12" borderId="10" xfId="0" applyNumberFormat="1" applyFont="1" applyFill="1" applyBorder="1" applyAlignment="1">
      <alignment horizontal="right" vertical="center"/>
    </xf>
    <xf numFmtId="169" fontId="6" fillId="12" borderId="10" xfId="0" applyNumberFormat="1" applyFont="1" applyFill="1" applyBorder="1" applyAlignment="1">
      <alignment vertical="center"/>
    </xf>
    <xf numFmtId="169" fontId="44" fillId="12" borderId="10" xfId="0" applyNumberFormat="1" applyFont="1" applyFill="1" applyBorder="1" applyAlignment="1">
      <alignment vertical="center"/>
    </xf>
    <xf numFmtId="169" fontId="44" fillId="12" borderId="10" xfId="0" applyNumberFormat="1" applyFont="1" applyFill="1" applyBorder="1" applyAlignment="1">
      <alignment horizontal="right" vertical="center"/>
    </xf>
    <xf numFmtId="169" fontId="6" fillId="12" borderId="1" xfId="0" applyNumberFormat="1" applyFont="1" applyFill="1" applyBorder="1" applyAlignment="1">
      <alignment vertical="center"/>
    </xf>
    <xf numFmtId="0" fontId="2" fillId="0" borderId="0" xfId="0" applyFont="1" applyAlignment="1">
      <alignment horizontal="justify" vertical="center"/>
    </xf>
    <xf numFmtId="0" fontId="51" fillId="13" borderId="75" xfId="0" applyFont="1" applyFill="1" applyBorder="1" applyAlignment="1">
      <alignment vertical="center"/>
    </xf>
    <xf numFmtId="0" fontId="51" fillId="13" borderId="25" xfId="0" applyFont="1" applyFill="1" applyBorder="1" applyAlignment="1">
      <alignment vertical="center"/>
    </xf>
    <xf numFmtId="0" fontId="51" fillId="13" borderId="76" xfId="0" applyFont="1" applyFill="1" applyBorder="1" applyAlignment="1">
      <alignment vertical="center"/>
    </xf>
    <xf numFmtId="0" fontId="51" fillId="13" borderId="65" xfId="0" applyFont="1" applyFill="1" applyBorder="1" applyAlignment="1">
      <alignment vertical="center"/>
    </xf>
    <xf numFmtId="0" fontId="51" fillId="0" borderId="74" xfId="0" applyFont="1" applyBorder="1" applyAlignment="1">
      <alignment vertical="center"/>
    </xf>
    <xf numFmtId="0" fontId="52" fillId="0" borderId="33" xfId="0" applyFont="1" applyBorder="1" applyAlignment="1">
      <alignment vertical="center"/>
    </xf>
    <xf numFmtId="0" fontId="52" fillId="0" borderId="74" xfId="0" applyFont="1" applyBorder="1" applyAlignment="1">
      <alignment vertical="center"/>
    </xf>
    <xf numFmtId="165" fontId="52" fillId="0" borderId="33" xfId="0" applyNumberFormat="1" applyFont="1" applyBorder="1" applyAlignment="1">
      <alignment horizontal="right" vertical="center"/>
    </xf>
    <xf numFmtId="169" fontId="32" fillId="7" borderId="0" xfId="0" applyNumberFormat="1" applyFont="1" applyFill="1"/>
    <xf numFmtId="169" fontId="3" fillId="8" borderId="10" xfId="0" applyNumberFormat="1" applyFont="1" applyFill="1" applyBorder="1"/>
    <xf numFmtId="169" fontId="45" fillId="8" borderId="10" xfId="0" applyNumberFormat="1" applyFont="1" applyFill="1" applyBorder="1"/>
    <xf numFmtId="0" fontId="2" fillId="5" borderId="10" xfId="0" applyFont="1" applyFill="1" applyBorder="1" applyAlignment="1">
      <alignment wrapText="1"/>
    </xf>
    <xf numFmtId="0" fontId="3" fillId="9" borderId="48" xfId="0" applyFont="1" applyFill="1" applyBorder="1"/>
    <xf numFmtId="0" fontId="3" fillId="9" borderId="1" xfId="0" applyFont="1" applyFill="1" applyBorder="1"/>
    <xf numFmtId="0" fontId="3" fillId="9" borderId="10" xfId="0" applyFont="1" applyFill="1" applyBorder="1"/>
    <xf numFmtId="169" fontId="3" fillId="9" borderId="10" xfId="2" applyNumberFormat="1" applyFont="1" applyFill="1" applyBorder="1" applyAlignment="1">
      <alignment horizontal="center"/>
    </xf>
    <xf numFmtId="170" fontId="3" fillId="9" borderId="10" xfId="5" applyNumberFormat="1" applyFont="1" applyFill="1" applyBorder="1" applyAlignment="1">
      <alignment horizontal="center"/>
    </xf>
    <xf numFmtId="0" fontId="3" fillId="9" borderId="44" xfId="0" applyFont="1" applyFill="1" applyBorder="1"/>
    <xf numFmtId="0" fontId="53" fillId="9" borderId="10" xfId="0" applyFont="1" applyFill="1" applyBorder="1"/>
    <xf numFmtId="0" fontId="3" fillId="9" borderId="51" xfId="0" applyFont="1" applyFill="1" applyBorder="1"/>
    <xf numFmtId="0" fontId="3" fillId="9" borderId="58" xfId="0" applyFont="1" applyFill="1" applyBorder="1"/>
    <xf numFmtId="169" fontId="3" fillId="9" borderId="44" xfId="2" applyNumberFormat="1" applyFont="1" applyFill="1" applyBorder="1" applyAlignment="1">
      <alignment horizontal="center"/>
    </xf>
    <xf numFmtId="0" fontId="3" fillId="5" borderId="1" xfId="0" applyFont="1" applyFill="1" applyBorder="1"/>
    <xf numFmtId="169" fontId="3" fillId="5" borderId="10" xfId="2" applyNumberFormat="1" applyFont="1" applyFill="1" applyBorder="1" applyAlignment="1">
      <alignment horizontal="center"/>
    </xf>
    <xf numFmtId="169" fontId="3" fillId="5" borderId="44" xfId="2" applyNumberFormat="1" applyFont="1" applyFill="1" applyBorder="1" applyAlignment="1">
      <alignment horizontal="center"/>
    </xf>
    <xf numFmtId="169" fontId="3" fillId="9" borderId="1" xfId="2" applyNumberFormat="1" applyFont="1" applyFill="1" applyBorder="1" applyAlignment="1">
      <alignment horizontal="center"/>
    </xf>
    <xf numFmtId="169" fontId="3" fillId="9" borderId="10" xfId="2" applyNumberFormat="1" applyFont="1" applyFill="1" applyBorder="1" applyAlignment="1">
      <alignment horizontal="right" vertical="center"/>
    </xf>
    <xf numFmtId="169" fontId="3" fillId="9" borderId="10" xfId="0" applyNumberFormat="1" applyFont="1" applyFill="1" applyBorder="1" applyAlignment="1">
      <alignment horizontal="right"/>
    </xf>
    <xf numFmtId="9" fontId="3" fillId="9" borderId="10" xfId="5" applyFont="1" applyFill="1" applyBorder="1" applyAlignment="1">
      <alignment horizontal="right" vertical="center"/>
    </xf>
    <xf numFmtId="0" fontId="3" fillId="9" borderId="10" xfId="0" applyFont="1" applyFill="1" applyBorder="1" applyAlignment="1">
      <alignment horizontal="right"/>
    </xf>
    <xf numFmtId="169" fontId="3" fillId="9" borderId="10" xfId="0" applyNumberFormat="1" applyFont="1" applyFill="1" applyBorder="1" applyAlignment="1">
      <alignment vertical="center"/>
    </xf>
    <xf numFmtId="169" fontId="54" fillId="9" borderId="10" xfId="0" applyNumberFormat="1" applyFont="1" applyFill="1" applyBorder="1" applyAlignment="1">
      <alignment vertical="center"/>
    </xf>
    <xf numFmtId="169" fontId="3" fillId="9" borderId="1" xfId="0" applyNumberFormat="1" applyFont="1" applyFill="1" applyBorder="1" applyAlignment="1">
      <alignment vertical="center"/>
    </xf>
    <xf numFmtId="169" fontId="3" fillId="5" borderId="10" xfId="0" applyNumberFormat="1" applyFont="1" applyFill="1" applyBorder="1" applyAlignment="1">
      <alignment vertical="center"/>
    </xf>
    <xf numFmtId="0" fontId="3" fillId="5" borderId="10" xfId="0" applyFont="1" applyFill="1" applyBorder="1"/>
    <xf numFmtId="0" fontId="3" fillId="5" borderId="44" xfId="0" applyFont="1" applyFill="1" applyBorder="1"/>
    <xf numFmtId="0" fontId="3" fillId="5" borderId="0" xfId="0" applyFont="1" applyFill="1"/>
    <xf numFmtId="0" fontId="3" fillId="9" borderId="0" xfId="0" applyFont="1" applyFill="1"/>
    <xf numFmtId="169" fontId="7" fillId="0" borderId="11" xfId="0" applyNumberFormat="1" applyFont="1" applyBorder="1"/>
    <xf numFmtId="165" fontId="6" fillId="0" borderId="0" xfId="0" applyNumberFormat="1" applyFont="1"/>
    <xf numFmtId="169" fontId="7" fillId="5" borderId="0" xfId="0" applyNumberFormat="1" applyFont="1" applyFill="1" applyAlignment="1">
      <alignment horizontal="right"/>
    </xf>
    <xf numFmtId="170" fontId="7" fillId="5" borderId="0" xfId="5" applyNumberFormat="1" applyFont="1" applyFill="1" applyBorder="1" applyAlignment="1">
      <alignment horizontal="right"/>
    </xf>
    <xf numFmtId="169" fontId="9" fillId="5" borderId="0" xfId="0" applyNumberFormat="1" applyFont="1" applyFill="1" applyAlignment="1">
      <alignment horizontal="right"/>
    </xf>
    <xf numFmtId="164" fontId="0" fillId="0" borderId="0" xfId="2" applyNumberFormat="1" applyFont="1"/>
    <xf numFmtId="0" fontId="0" fillId="0" borderId="0" xfId="0" applyAlignment="1">
      <alignment horizontal="center"/>
    </xf>
    <xf numFmtId="164" fontId="0" fillId="0" borderId="0" xfId="0" applyNumberFormat="1"/>
    <xf numFmtId="166" fontId="0" fillId="0" borderId="0" xfId="2" applyFont="1" applyFill="1"/>
    <xf numFmtId="166" fontId="0" fillId="0" borderId="0" xfId="2" applyFont="1"/>
    <xf numFmtId="166" fontId="0" fillId="0" borderId="9" xfId="2" applyFont="1" applyFill="1" applyBorder="1"/>
    <xf numFmtId="166" fontId="0" fillId="0" borderId="0" xfId="2" applyFont="1" applyFill="1" applyBorder="1"/>
    <xf numFmtId="169" fontId="7" fillId="0" borderId="0" xfId="0" applyNumberFormat="1" applyFont="1" applyAlignment="1">
      <alignment horizontal="right"/>
    </xf>
    <xf numFmtId="9" fontId="7" fillId="5" borderId="0" xfId="5" applyFont="1" applyFill="1" applyBorder="1" applyAlignment="1">
      <alignment horizontal="right"/>
    </xf>
    <xf numFmtId="169" fontId="9" fillId="0" borderId="0" xfId="0" applyNumberFormat="1" applyFont="1" applyAlignment="1">
      <alignment horizontal="right"/>
    </xf>
    <xf numFmtId="0" fontId="2" fillId="0" borderId="0" xfId="0" applyFont="1"/>
    <xf numFmtId="0" fontId="6" fillId="14" borderId="48" xfId="0" applyFont="1" applyFill="1" applyBorder="1"/>
    <xf numFmtId="0" fontId="3" fillId="14" borderId="10" xfId="0" applyFont="1" applyFill="1" applyBorder="1" applyAlignment="1">
      <alignment horizontal="center"/>
    </xf>
    <xf numFmtId="0" fontId="3" fillId="14" borderId="51" xfId="0" applyFont="1" applyFill="1" applyBorder="1" applyAlignment="1">
      <alignment horizontal="center"/>
    </xf>
    <xf numFmtId="0" fontId="6" fillId="14" borderId="1" xfId="0" applyFont="1" applyFill="1" applyBorder="1"/>
    <xf numFmtId="0" fontId="6" fillId="14" borderId="10" xfId="0" applyFont="1" applyFill="1" applyBorder="1"/>
    <xf numFmtId="169" fontId="6" fillId="14" borderId="10" xfId="0" applyNumberFormat="1" applyFont="1" applyFill="1" applyBorder="1"/>
    <xf numFmtId="169" fontId="6" fillId="14" borderId="10" xfId="0" applyNumberFormat="1" applyFont="1" applyFill="1" applyBorder="1" applyAlignment="1">
      <alignment wrapText="1"/>
    </xf>
    <xf numFmtId="0" fontId="6" fillId="14" borderId="44" xfId="0" applyFont="1" applyFill="1" applyBorder="1"/>
    <xf numFmtId="169" fontId="6" fillId="14" borderId="1" xfId="0" applyNumberFormat="1" applyFont="1" applyFill="1" applyBorder="1"/>
    <xf numFmtId="169" fontId="27" fillId="14" borderId="10" xfId="0" applyNumberFormat="1" applyFont="1" applyFill="1" applyBorder="1"/>
    <xf numFmtId="0" fontId="6" fillId="14" borderId="51" xfId="0" applyFont="1" applyFill="1" applyBorder="1"/>
    <xf numFmtId="0" fontId="6" fillId="14" borderId="58" xfId="0" applyFont="1" applyFill="1" applyBorder="1"/>
    <xf numFmtId="0" fontId="3" fillId="14" borderId="48" xfId="0" applyFont="1" applyFill="1" applyBorder="1" applyAlignment="1">
      <alignment horizontal="center"/>
    </xf>
    <xf numFmtId="0" fontId="3" fillId="14" borderId="1" xfId="0" applyFont="1" applyFill="1" applyBorder="1" applyAlignment="1">
      <alignment horizontal="center"/>
    </xf>
    <xf numFmtId="169" fontId="6" fillId="14" borderId="51" xfId="0" applyNumberFormat="1" applyFont="1" applyFill="1" applyBorder="1"/>
    <xf numFmtId="169" fontId="44" fillId="14" borderId="10" xfId="0" applyNumberFormat="1" applyFont="1" applyFill="1" applyBorder="1"/>
    <xf numFmtId="169" fontId="36" fillId="14" borderId="10" xfId="0" applyNumberFormat="1" applyFont="1" applyFill="1" applyBorder="1"/>
    <xf numFmtId="169" fontId="44" fillId="14" borderId="16" xfId="0" applyNumberFormat="1" applyFont="1" applyFill="1" applyBorder="1"/>
    <xf numFmtId="169" fontId="2" fillId="14" borderId="10" xfId="0" applyNumberFormat="1" applyFont="1" applyFill="1" applyBorder="1"/>
    <xf numFmtId="173" fontId="2" fillId="14" borderId="10" xfId="0" applyNumberFormat="1" applyFont="1" applyFill="1" applyBorder="1"/>
    <xf numFmtId="169" fontId="6" fillId="14" borderId="44" xfId="0" applyNumberFormat="1" applyFont="1" applyFill="1" applyBorder="1"/>
    <xf numFmtId="0" fontId="6" fillId="14" borderId="10" xfId="0" applyFont="1" applyFill="1" applyBorder="1" applyAlignment="1">
      <alignment vertical="center" wrapText="1"/>
    </xf>
    <xf numFmtId="169" fontId="6" fillId="14" borderId="44" xfId="0" applyNumberFormat="1" applyFont="1" applyFill="1" applyBorder="1" applyAlignment="1">
      <alignment wrapText="1"/>
    </xf>
    <xf numFmtId="169" fontId="6" fillId="14" borderId="1" xfId="0" applyNumberFormat="1" applyFont="1" applyFill="1" applyBorder="1" applyAlignment="1">
      <alignment wrapText="1"/>
    </xf>
    <xf numFmtId="169" fontId="6" fillId="14" borderId="10" xfId="0" applyNumberFormat="1" applyFont="1" applyFill="1" applyBorder="1" applyAlignment="1">
      <alignment horizontal="right" vertical="center"/>
    </xf>
    <xf numFmtId="169" fontId="6" fillId="14" borderId="10" xfId="0" applyNumberFormat="1" applyFont="1" applyFill="1" applyBorder="1" applyAlignment="1">
      <alignment vertical="center"/>
    </xf>
    <xf numFmtId="169" fontId="44" fillId="14" borderId="10" xfId="0" applyNumberFormat="1" applyFont="1" applyFill="1" applyBorder="1" applyAlignment="1">
      <alignment vertical="center"/>
    </xf>
    <xf numFmtId="169" fontId="44" fillId="14" borderId="10" xfId="0" applyNumberFormat="1" applyFont="1" applyFill="1" applyBorder="1" applyAlignment="1">
      <alignment horizontal="right" vertical="center"/>
    </xf>
    <xf numFmtId="169" fontId="6" fillId="14" borderId="1" xfId="0" applyNumberFormat="1" applyFont="1" applyFill="1" applyBorder="1" applyAlignment="1">
      <alignment vertical="center"/>
    </xf>
    <xf numFmtId="0" fontId="12" fillId="5" borderId="10" xfId="0" applyFont="1" applyFill="1" applyBorder="1"/>
    <xf numFmtId="0" fontId="36" fillId="7" borderId="0" xfId="0" applyFont="1" applyFill="1" applyAlignment="1">
      <alignment wrapText="1"/>
    </xf>
    <xf numFmtId="17" fontId="36" fillId="7" borderId="0" xfId="0" applyNumberFormat="1" applyFont="1" applyFill="1" applyAlignment="1">
      <alignment horizontal="justify" vertical="center"/>
    </xf>
    <xf numFmtId="0" fontId="9" fillId="5" borderId="0" xfId="0" applyFont="1" applyFill="1" applyAlignment="1">
      <alignment horizontal="right"/>
    </xf>
    <xf numFmtId="10" fontId="32" fillId="7" borderId="0" xfId="5" applyNumberFormat="1" applyFont="1" applyFill="1"/>
    <xf numFmtId="164" fontId="9" fillId="0" borderId="0" xfId="1" applyNumberFormat="1" applyFont="1"/>
    <xf numFmtId="164" fontId="9" fillId="5" borderId="0" xfId="0" applyNumberFormat="1" applyFont="1" applyFill="1"/>
    <xf numFmtId="0" fontId="13" fillId="0" borderId="0" xfId="0" applyFont="1"/>
    <xf numFmtId="164" fontId="2" fillId="0" borderId="0" xfId="2" applyNumberFormat="1" applyFont="1" applyFill="1"/>
    <xf numFmtId="174" fontId="2" fillId="0" borderId="0" xfId="0" applyNumberFormat="1" applyFont="1"/>
    <xf numFmtId="0" fontId="9" fillId="5" borderId="0" xfId="0" applyFont="1" applyFill="1" applyAlignment="1">
      <alignment horizontal="center" vertical="center"/>
    </xf>
    <xf numFmtId="164" fontId="9" fillId="5" borderId="0" xfId="0" applyNumberFormat="1" applyFont="1" applyFill="1" applyAlignment="1">
      <alignment horizontal="center" vertical="center"/>
    </xf>
    <xf numFmtId="9" fontId="0" fillId="0" borderId="0" xfId="5" applyFont="1" applyBorder="1"/>
    <xf numFmtId="9" fontId="3" fillId="0" borderId="10" xfId="0" applyNumberFormat="1" applyFont="1" applyBorder="1" applyAlignment="1">
      <alignment horizontal="center"/>
    </xf>
    <xf numFmtId="0" fontId="2" fillId="9" borderId="10" xfId="0" applyFont="1" applyFill="1" applyBorder="1" applyAlignment="1">
      <alignment vertical="center" wrapText="1"/>
    </xf>
    <xf numFmtId="170" fontId="0" fillId="5" borderId="0" xfId="5" applyNumberFormat="1" applyFont="1" applyFill="1"/>
    <xf numFmtId="0" fontId="2" fillId="5" borderId="0" xfId="0" applyFont="1" applyFill="1"/>
    <xf numFmtId="169" fontId="9" fillId="5" borderId="34" xfId="0" applyNumberFormat="1" applyFont="1" applyFill="1" applyBorder="1"/>
    <xf numFmtId="169" fontId="7" fillId="0" borderId="0" xfId="0" applyNumberFormat="1" applyFont="1"/>
    <xf numFmtId="169" fontId="40" fillId="5" borderId="13" xfId="0" applyNumberFormat="1" applyFont="1" applyFill="1" applyBorder="1"/>
    <xf numFmtId="167" fontId="44" fillId="0" borderId="10" xfId="1" applyFont="1" applyBorder="1" applyAlignment="1">
      <alignment vertical="top"/>
    </xf>
    <xf numFmtId="167" fontId="44" fillId="0" borderId="10" xfId="1" applyFont="1" applyBorder="1" applyAlignment="1">
      <alignment horizontal="right" vertical="center"/>
    </xf>
    <xf numFmtId="3" fontId="2" fillId="0" borderId="10" xfId="0" applyNumberFormat="1" applyFont="1" applyBorder="1"/>
    <xf numFmtId="3" fontId="2" fillId="0" borderId="44" xfId="0" applyNumberFormat="1" applyFont="1" applyBorder="1"/>
    <xf numFmtId="167" fontId="44" fillId="0" borderId="44" xfId="1" applyFont="1" applyBorder="1" applyAlignment="1">
      <alignment horizontal="right" vertical="center"/>
    </xf>
    <xf numFmtId="0" fontId="0" fillId="0" borderId="77" xfId="2" applyNumberFormat="1" applyFont="1" applyBorder="1"/>
    <xf numFmtId="0" fontId="55" fillId="0" borderId="0" xfId="0" applyFont="1" applyAlignment="1">
      <alignment horizontal="right"/>
    </xf>
    <xf numFmtId="0" fontId="0" fillId="0" borderId="0" xfId="2" applyNumberFormat="1" applyFont="1" applyBorder="1"/>
    <xf numFmtId="10" fontId="32" fillId="0" borderId="11" xfId="0" applyNumberFormat="1" applyFont="1" applyBorder="1" applyAlignment="1">
      <alignment horizontal="center"/>
    </xf>
    <xf numFmtId="9" fontId="33" fillId="5" borderId="0" xfId="5" applyFont="1" applyFill="1" applyBorder="1" applyAlignment="1">
      <alignment horizontal="center"/>
    </xf>
    <xf numFmtId="175" fontId="0" fillId="0" borderId="0" xfId="1" applyNumberFormat="1" applyFont="1"/>
    <xf numFmtId="175" fontId="9" fillId="0" borderId="0" xfId="1" applyNumberFormat="1" applyFont="1"/>
    <xf numFmtId="169" fontId="2" fillId="9" borderId="10" xfId="0" applyNumberFormat="1" applyFont="1" applyFill="1" applyBorder="1" applyAlignment="1">
      <alignment horizontal="right" vertical="center"/>
    </xf>
    <xf numFmtId="0" fontId="2" fillId="7" borderId="10" xfId="0" applyFont="1" applyFill="1" applyBorder="1" applyAlignment="1">
      <alignment vertical="center" wrapText="1"/>
    </xf>
    <xf numFmtId="0" fontId="6" fillId="7" borderId="10" xfId="0" applyFont="1" applyFill="1" applyBorder="1" applyAlignment="1">
      <alignment vertical="center" wrapText="1"/>
    </xf>
    <xf numFmtId="169" fontId="3" fillId="14" borderId="10" xfId="0" applyNumberFormat="1" applyFont="1" applyFill="1" applyBorder="1" applyAlignment="1">
      <alignment horizontal="center" vertical="center"/>
    </xf>
    <xf numFmtId="0" fontId="46" fillId="6" borderId="10" xfId="3" applyFont="1" applyFill="1" applyBorder="1" applyAlignment="1">
      <alignment horizontal="center"/>
    </xf>
    <xf numFmtId="0" fontId="46" fillId="6" borderId="41" xfId="3" applyFont="1" applyFill="1" applyBorder="1" applyAlignment="1">
      <alignment horizontal="center"/>
    </xf>
    <xf numFmtId="169" fontId="45" fillId="14" borderId="10" xfId="0" applyNumberFormat="1" applyFont="1" applyFill="1" applyBorder="1" applyAlignment="1">
      <alignment horizontal="center" vertical="center"/>
    </xf>
    <xf numFmtId="0" fontId="46" fillId="6" borderId="48" xfId="3" applyFont="1" applyFill="1" applyBorder="1" applyAlignment="1">
      <alignment horizontal="center"/>
    </xf>
    <xf numFmtId="0" fontId="46" fillId="6" borderId="40" xfId="3" applyFont="1" applyFill="1" applyBorder="1" applyAlignment="1">
      <alignment horizontal="center"/>
    </xf>
    <xf numFmtId="0" fontId="46" fillId="6" borderId="1" xfId="3" applyFont="1" applyFill="1" applyBorder="1" applyAlignment="1">
      <alignment horizontal="center"/>
    </xf>
    <xf numFmtId="0" fontId="46" fillId="6" borderId="52" xfId="3" applyFont="1" applyFill="1" applyBorder="1" applyAlignment="1">
      <alignment horizontal="center"/>
    </xf>
    <xf numFmtId="10" fontId="0" fillId="0" borderId="0" xfId="5" applyNumberFormat="1" applyFont="1" applyBorder="1"/>
    <xf numFmtId="170" fontId="3" fillId="0" borderId="1" xfId="5" applyNumberFormat="1" applyFont="1" applyBorder="1" applyAlignment="1">
      <alignment horizontal="center"/>
    </xf>
    <xf numFmtId="0" fontId="0" fillId="5" borderId="7" xfId="0" applyFill="1" applyBorder="1"/>
    <xf numFmtId="169" fontId="32" fillId="7" borderId="18" xfId="0" applyNumberFormat="1" applyFont="1" applyFill="1" applyBorder="1"/>
    <xf numFmtId="0" fontId="2" fillId="0" borderId="10" xfId="0" quotePrefix="1" applyFont="1" applyBorder="1" applyAlignment="1">
      <alignment horizontal="center" vertical="center" wrapText="1"/>
    </xf>
    <xf numFmtId="169" fontId="6" fillId="8" borderId="16" xfId="0" applyNumberFormat="1" applyFont="1" applyFill="1" applyBorder="1" applyAlignment="1">
      <alignment wrapText="1"/>
    </xf>
    <xf numFmtId="169" fontId="6" fillId="12" borderId="16" xfId="0" applyNumberFormat="1" applyFont="1" applyFill="1" applyBorder="1" applyAlignment="1">
      <alignment wrapText="1"/>
    </xf>
    <xf numFmtId="169" fontId="6" fillId="14" borderId="16" xfId="0" applyNumberFormat="1" applyFont="1" applyFill="1" applyBorder="1" applyAlignment="1">
      <alignment wrapText="1"/>
    </xf>
    <xf numFmtId="169" fontId="6" fillId="9" borderId="16" xfId="0" applyNumberFormat="1" applyFont="1" applyFill="1" applyBorder="1" applyAlignment="1">
      <alignment wrapText="1"/>
    </xf>
    <xf numFmtId="170" fontId="6" fillId="0" borderId="16" xfId="0" applyNumberFormat="1" applyFont="1" applyBorder="1"/>
    <xf numFmtId="0" fontId="6" fillId="0" borderId="16" xfId="0" applyFont="1" applyBorder="1"/>
    <xf numFmtId="0" fontId="3" fillId="9" borderId="16" xfId="0" applyFont="1" applyFill="1" applyBorder="1"/>
    <xf numFmtId="0" fontId="6" fillId="0" borderId="55" xfId="0" applyFont="1" applyBorder="1"/>
    <xf numFmtId="0" fontId="30" fillId="6" borderId="16" xfId="3" applyFont="1" applyFill="1" applyBorder="1"/>
    <xf numFmtId="0" fontId="30" fillId="6" borderId="55" xfId="3" applyFont="1" applyFill="1" applyBorder="1"/>
    <xf numFmtId="0" fontId="2" fillId="0" borderId="10" xfId="0" applyFont="1" applyBorder="1" applyAlignment="1">
      <alignment horizontal="center" vertical="center" wrapText="1"/>
    </xf>
    <xf numFmtId="0" fontId="9" fillId="7" borderId="0" xfId="0" applyFont="1" applyFill="1"/>
    <xf numFmtId="0" fontId="59" fillId="0" borderId="0" xfId="8"/>
    <xf numFmtId="169" fontId="32" fillId="0" borderId="6" xfId="0" applyNumberFormat="1" applyFont="1" applyBorder="1"/>
    <xf numFmtId="0" fontId="9" fillId="7" borderId="42" xfId="0" applyFont="1" applyFill="1" applyBorder="1"/>
    <xf numFmtId="0" fontId="9" fillId="7" borderId="10" xfId="0" applyFont="1" applyFill="1" applyBorder="1"/>
    <xf numFmtId="169" fontId="0" fillId="7" borderId="10" xfId="0" applyNumberFormat="1" applyFill="1" applyBorder="1"/>
    <xf numFmtId="169" fontId="32" fillId="7" borderId="6" xfId="0" applyNumberFormat="1" applyFont="1" applyFill="1" applyBorder="1"/>
    <xf numFmtId="169" fontId="0" fillId="7" borderId="27" xfId="0" applyNumberFormat="1" applyFill="1" applyBorder="1"/>
    <xf numFmtId="0" fontId="9" fillId="15" borderId="42" xfId="0" applyFont="1" applyFill="1" applyBorder="1"/>
    <xf numFmtId="0" fontId="9" fillId="15" borderId="10" xfId="0" applyFont="1" applyFill="1" applyBorder="1"/>
    <xf numFmtId="169" fontId="0" fillId="15" borderId="10" xfId="0" applyNumberFormat="1" applyFill="1" applyBorder="1"/>
    <xf numFmtId="169" fontId="32" fillId="15" borderId="6" xfId="0" applyNumberFormat="1" applyFont="1" applyFill="1" applyBorder="1"/>
    <xf numFmtId="169" fontId="0" fillId="15" borderId="27" xfId="0" applyNumberFormat="1" applyFill="1" applyBorder="1"/>
    <xf numFmtId="0" fontId="9" fillId="7" borderId="54" xfId="0" applyFont="1" applyFill="1" applyBorder="1"/>
    <xf numFmtId="0" fontId="9" fillId="7" borderId="16" xfId="0" applyFont="1" applyFill="1" applyBorder="1"/>
    <xf numFmtId="0" fontId="2" fillId="0" borderId="10" xfId="0" applyFont="1" applyBorder="1"/>
    <xf numFmtId="0" fontId="1" fillId="0" borderId="0" xfId="0" applyFont="1"/>
    <xf numFmtId="0" fontId="6" fillId="0" borderId="10" xfId="0" applyFont="1" applyBorder="1" applyAlignment="1">
      <alignment horizontal="left" wrapText="1"/>
    </xf>
    <xf numFmtId="0" fontId="34" fillId="5" borderId="0" xfId="0" applyFont="1" applyFill="1"/>
    <xf numFmtId="169" fontId="32" fillId="5" borderId="7" xfId="0" applyNumberFormat="1" applyFont="1" applyFill="1" applyBorder="1"/>
    <xf numFmtId="0" fontId="36" fillId="5" borderId="0" xfId="0" applyFont="1" applyFill="1"/>
    <xf numFmtId="169" fontId="40" fillId="5" borderId="3" xfId="0" applyNumberFormat="1" applyFont="1" applyFill="1" applyBorder="1"/>
    <xf numFmtId="0" fontId="9" fillId="10" borderId="0" xfId="0" applyFont="1" applyFill="1"/>
    <xf numFmtId="0" fontId="43" fillId="0" borderId="42" xfId="0" applyFont="1" applyBorder="1" applyAlignment="1">
      <alignment vertical="center"/>
    </xf>
    <xf numFmtId="169" fontId="9" fillId="10" borderId="7" xfId="0" applyNumberFormat="1" applyFont="1" applyFill="1" applyBorder="1"/>
    <xf numFmtId="0" fontId="32" fillId="5" borderId="26" xfId="0" applyFont="1" applyFill="1" applyBorder="1"/>
    <xf numFmtId="0" fontId="32" fillId="5" borderId="27" xfId="0" applyFont="1" applyFill="1" applyBorder="1"/>
    <xf numFmtId="169" fontId="9" fillId="5" borderId="65" xfId="0" applyNumberFormat="1" applyFont="1" applyFill="1" applyBorder="1"/>
    <xf numFmtId="0" fontId="0" fillId="5" borderId="30" xfId="0" applyFill="1" applyBorder="1"/>
    <xf numFmtId="169" fontId="12" fillId="0" borderId="5" xfId="0" applyNumberFormat="1" applyFont="1" applyBorder="1"/>
    <xf numFmtId="0" fontId="60" fillId="0" borderId="42" xfId="0" applyFont="1" applyBorder="1"/>
    <xf numFmtId="168" fontId="37" fillId="5" borderId="44" xfId="0" applyNumberFormat="1" applyFont="1" applyFill="1" applyBorder="1" applyAlignment="1">
      <alignment horizontal="right" vertical="center"/>
    </xf>
    <xf numFmtId="0" fontId="41" fillId="0" borderId="24" xfId="0" applyFont="1" applyBorder="1" applyAlignment="1">
      <alignment vertical="center"/>
    </xf>
    <xf numFmtId="0" fontId="21" fillId="10" borderId="5" xfId="0" applyFont="1" applyFill="1" applyBorder="1" applyAlignment="1">
      <alignment horizontal="center" vertical="center"/>
    </xf>
    <xf numFmtId="170" fontId="22" fillId="10" borderId="5" xfId="5" applyNumberFormat="1" applyFont="1" applyFill="1" applyBorder="1" applyAlignment="1">
      <alignment horizontal="center" vertical="center" wrapText="1"/>
    </xf>
    <xf numFmtId="0" fontId="38" fillId="10" borderId="5" xfId="0" applyFont="1" applyFill="1" applyBorder="1" applyAlignment="1">
      <alignment vertical="center"/>
    </xf>
    <xf numFmtId="167" fontId="42" fillId="10" borderId="5" xfId="1" applyFont="1" applyFill="1" applyBorder="1" applyAlignment="1">
      <alignment vertical="center"/>
    </xf>
    <xf numFmtId="167" fontId="42" fillId="10" borderId="45" xfId="1" applyFont="1" applyFill="1" applyBorder="1" applyAlignment="1">
      <alignment vertical="center"/>
    </xf>
    <xf numFmtId="0" fontId="0" fillId="0" borderId="41" xfId="0" applyBorder="1"/>
    <xf numFmtId="43" fontId="0" fillId="0" borderId="41" xfId="0" applyNumberFormat="1" applyBorder="1"/>
    <xf numFmtId="0" fontId="0" fillId="0" borderId="46" xfId="0" applyBorder="1"/>
    <xf numFmtId="0" fontId="3" fillId="0" borderId="40" xfId="0" applyFont="1" applyBorder="1" applyAlignment="1">
      <alignment wrapText="1"/>
    </xf>
    <xf numFmtId="0" fontId="21" fillId="10" borderId="9" xfId="0" applyFont="1" applyFill="1" applyBorder="1" applyAlignment="1">
      <alignment horizontal="center" vertical="center"/>
    </xf>
    <xf numFmtId="170" fontId="22" fillId="10" borderId="9" xfId="5" applyNumberFormat="1" applyFont="1" applyFill="1" applyBorder="1" applyAlignment="1">
      <alignment horizontal="center" vertical="center" wrapText="1"/>
    </xf>
    <xf numFmtId="0" fontId="38" fillId="10" borderId="9" xfId="0" applyFont="1" applyFill="1" applyBorder="1" applyAlignment="1">
      <alignment vertical="center"/>
    </xf>
    <xf numFmtId="167" fontId="42" fillId="10" borderId="9" xfId="1" applyFont="1" applyFill="1" applyBorder="1" applyAlignment="1">
      <alignment vertical="center"/>
    </xf>
    <xf numFmtId="167" fontId="42" fillId="10" borderId="36" xfId="1" applyFont="1" applyFill="1" applyBorder="1" applyAlignment="1">
      <alignment vertical="center"/>
    </xf>
    <xf numFmtId="0" fontId="3" fillId="0" borderId="79" xfId="0" applyFont="1" applyBorder="1" applyAlignment="1">
      <alignment wrapText="1"/>
    </xf>
    <xf numFmtId="43" fontId="0" fillId="0" borderId="80" xfId="0" applyNumberFormat="1" applyBorder="1"/>
    <xf numFmtId="0" fontId="41" fillId="0" borderId="75" xfId="0" applyFont="1" applyBorder="1" applyAlignment="1">
      <alignment vertical="center"/>
    </xf>
    <xf numFmtId="0" fontId="21" fillId="10" borderId="81" xfId="0" applyFont="1" applyFill="1" applyBorder="1" applyAlignment="1">
      <alignment horizontal="center" vertical="center"/>
    </xf>
    <xf numFmtId="170" fontId="22" fillId="10" borderId="81" xfId="5" applyNumberFormat="1" applyFont="1" applyFill="1" applyBorder="1" applyAlignment="1">
      <alignment horizontal="center" vertical="center" wrapText="1"/>
    </xf>
    <xf numFmtId="0" fontId="38" fillId="10" borderId="81" xfId="0" applyFont="1" applyFill="1" applyBorder="1" applyAlignment="1">
      <alignment vertical="center"/>
    </xf>
    <xf numFmtId="167" fontId="42" fillId="10" borderId="81" xfId="1" applyFont="1" applyFill="1" applyBorder="1" applyAlignment="1">
      <alignment vertical="center"/>
    </xf>
    <xf numFmtId="167" fontId="42" fillId="10" borderId="82" xfId="1" applyFont="1" applyFill="1" applyBorder="1" applyAlignment="1">
      <alignment vertical="center"/>
    </xf>
    <xf numFmtId="169" fontId="32" fillId="5" borderId="27" xfId="0" applyNumberFormat="1" applyFont="1" applyFill="1" applyBorder="1"/>
    <xf numFmtId="170" fontId="36" fillId="5" borderId="0" xfId="5" applyNumberFormat="1" applyFont="1" applyFill="1"/>
    <xf numFmtId="169" fontId="30" fillId="6" borderId="41" xfId="3" applyNumberFormat="1" applyFont="1" applyFill="1" applyBorder="1"/>
    <xf numFmtId="169" fontId="61" fillId="0" borderId="6" xfId="0" applyNumberFormat="1" applyFont="1" applyBorder="1"/>
    <xf numFmtId="0" fontId="49" fillId="0" borderId="75" xfId="0" applyFont="1" applyBorder="1" applyAlignment="1">
      <alignment vertical="center"/>
    </xf>
    <xf numFmtId="0" fontId="49" fillId="0" borderId="25" xfId="0" applyFont="1" applyBorder="1" applyAlignment="1">
      <alignment vertical="center"/>
    </xf>
    <xf numFmtId="0" fontId="49" fillId="0" borderId="10" xfId="0" applyFont="1" applyBorder="1" applyAlignment="1">
      <alignment vertical="center"/>
    </xf>
    <xf numFmtId="166" fontId="49" fillId="0" borderId="10" xfId="2" applyFont="1" applyBorder="1" applyAlignment="1">
      <alignment vertical="center"/>
    </xf>
    <xf numFmtId="0" fontId="50" fillId="0" borderId="10" xfId="0" applyFont="1" applyBorder="1" applyAlignment="1">
      <alignment vertical="center"/>
    </xf>
    <xf numFmtId="166" fontId="50" fillId="0" borderId="10" xfId="2" applyFont="1" applyBorder="1" applyAlignment="1">
      <alignment horizontal="right" vertical="center"/>
    </xf>
    <xf numFmtId="0" fontId="50" fillId="0" borderId="10" xfId="0" applyFont="1" applyBorder="1" applyAlignment="1">
      <alignment horizontal="right" vertical="center"/>
    </xf>
    <xf numFmtId="0" fontId="49" fillId="0" borderId="47" xfId="0" quotePrefix="1" applyFont="1" applyBorder="1" applyAlignment="1">
      <alignment vertical="center"/>
    </xf>
    <xf numFmtId="0" fontId="49" fillId="0" borderId="48" xfId="0" applyFont="1" applyBorder="1" applyAlignment="1">
      <alignment vertical="center"/>
    </xf>
    <xf numFmtId="166" fontId="49" fillId="0" borderId="48" xfId="2" applyFont="1" applyBorder="1" applyAlignment="1">
      <alignment vertical="center"/>
    </xf>
    <xf numFmtId="0" fontId="49" fillId="0" borderId="40" xfId="0" applyFont="1" applyBorder="1" applyAlignment="1">
      <alignment vertical="center"/>
    </xf>
    <xf numFmtId="0" fontId="49" fillId="0" borderId="42" xfId="0" quotePrefix="1" applyFont="1" applyBorder="1" applyAlignment="1">
      <alignment vertical="center"/>
    </xf>
    <xf numFmtId="0" fontId="49" fillId="0" borderId="41" xfId="0" applyFont="1" applyBorder="1" applyAlignment="1">
      <alignment vertical="center"/>
    </xf>
    <xf numFmtId="0" fontId="50" fillId="0" borderId="42" xfId="0" quotePrefix="1" applyFont="1" applyBorder="1" applyAlignment="1">
      <alignment vertical="center"/>
    </xf>
    <xf numFmtId="0" fontId="50" fillId="0" borderId="41" xfId="0" applyFont="1" applyBorder="1" applyAlignment="1">
      <alignment horizontal="right" vertical="center"/>
    </xf>
    <xf numFmtId="0" fontId="50" fillId="0" borderId="43" xfId="0" quotePrefix="1" applyFont="1" applyBorder="1" applyAlignment="1">
      <alignment vertical="center"/>
    </xf>
    <xf numFmtId="0" fontId="50" fillId="0" borderId="44" xfId="0" applyFont="1" applyBorder="1" applyAlignment="1">
      <alignment vertical="center"/>
    </xf>
    <xf numFmtId="166" fontId="50" fillId="0" borderId="44" xfId="2" applyFont="1" applyBorder="1" applyAlignment="1">
      <alignment horizontal="right" vertical="center"/>
    </xf>
    <xf numFmtId="0" fontId="50" fillId="0" borderId="44" xfId="0" applyFont="1" applyBorder="1" applyAlignment="1">
      <alignment horizontal="right" vertical="center"/>
    </xf>
    <xf numFmtId="0" fontId="50" fillId="0" borderId="46" xfId="0" applyFont="1" applyBorder="1" applyAlignment="1">
      <alignment horizontal="right" vertical="center"/>
    </xf>
    <xf numFmtId="0" fontId="50" fillId="0" borderId="48" xfId="0" applyFont="1" applyBorder="1" applyAlignment="1">
      <alignment vertical="center"/>
    </xf>
    <xf numFmtId="169" fontId="30" fillId="6" borderId="41" xfId="3" applyNumberFormat="1" applyFont="1" applyFill="1" applyBorder="1" applyAlignment="1">
      <alignment horizontal="center" wrapText="1"/>
    </xf>
    <xf numFmtId="0" fontId="7" fillId="5" borderId="9" xfId="0" applyFont="1" applyFill="1" applyBorder="1" applyAlignment="1">
      <alignment wrapText="1"/>
    </xf>
    <xf numFmtId="0" fontId="7" fillId="5" borderId="6" xfId="0" applyFont="1" applyFill="1" applyBorder="1" applyAlignment="1">
      <alignment wrapText="1"/>
    </xf>
    <xf numFmtId="0" fontId="64" fillId="0" borderId="10" xfId="0" applyFont="1" applyBorder="1" applyAlignment="1">
      <alignment wrapText="1"/>
    </xf>
    <xf numFmtId="0" fontId="2" fillId="14" borderId="10" xfId="0" applyFont="1" applyFill="1" applyBorder="1" applyAlignment="1">
      <alignment vertical="center" wrapText="1"/>
    </xf>
    <xf numFmtId="0" fontId="6" fillId="14" borderId="0" xfId="0" applyFont="1" applyFill="1"/>
    <xf numFmtId="0" fontId="46" fillId="6" borderId="5" xfId="3" applyFont="1" applyFill="1" applyBorder="1" applyAlignment="1">
      <alignment horizontal="center"/>
    </xf>
    <xf numFmtId="0" fontId="30" fillId="6" borderId="83" xfId="3" applyFont="1" applyFill="1" applyBorder="1" applyAlignment="1">
      <alignment horizontal="center"/>
    </xf>
    <xf numFmtId="0" fontId="30" fillId="6" borderId="15" xfId="3" applyFont="1" applyFill="1" applyBorder="1"/>
    <xf numFmtId="0" fontId="62" fillId="0" borderId="10" xfId="0" applyFont="1" applyBorder="1"/>
    <xf numFmtId="0" fontId="63" fillId="0" borderId="10" xfId="0" applyFont="1" applyBorder="1"/>
    <xf numFmtId="0" fontId="30" fillId="6" borderId="5" xfId="3" applyFont="1" applyFill="1" applyBorder="1"/>
    <xf numFmtId="169" fontId="30" fillId="6" borderId="5" xfId="3" applyNumberFormat="1" applyFont="1" applyFill="1" applyBorder="1" applyAlignment="1">
      <alignment horizontal="center"/>
    </xf>
    <xf numFmtId="170" fontId="30" fillId="6" borderId="5" xfId="3" applyNumberFormat="1" applyFont="1" applyFill="1" applyBorder="1" applyAlignment="1">
      <alignment horizontal="center"/>
    </xf>
    <xf numFmtId="0" fontId="30" fillId="6" borderId="83" xfId="3" applyFont="1" applyFill="1" applyBorder="1"/>
    <xf numFmtId="0" fontId="30" fillId="6" borderId="73" xfId="3" applyFont="1" applyFill="1" applyBorder="1"/>
    <xf numFmtId="0" fontId="46" fillId="6" borderId="78" xfId="3" applyFont="1" applyFill="1" applyBorder="1" applyAlignment="1">
      <alignment horizontal="center"/>
    </xf>
    <xf numFmtId="0" fontId="46" fillId="6" borderId="15" xfId="3" applyFont="1" applyFill="1" applyBorder="1" applyAlignment="1">
      <alignment horizontal="center"/>
    </xf>
    <xf numFmtId="0" fontId="30" fillId="6" borderId="45" xfId="3" applyFont="1" applyFill="1" applyBorder="1"/>
    <xf numFmtId="0" fontId="30" fillId="6" borderId="78" xfId="3" applyFont="1" applyFill="1" applyBorder="1"/>
    <xf numFmtId="0" fontId="30" fillId="6" borderId="5" xfId="3" applyFont="1" applyFill="1" applyBorder="1" applyAlignment="1">
      <alignment horizontal="center"/>
    </xf>
    <xf numFmtId="169" fontId="30" fillId="6" borderId="45" xfId="3" applyNumberFormat="1" applyFont="1" applyFill="1" applyBorder="1" applyAlignment="1">
      <alignment horizontal="center"/>
    </xf>
    <xf numFmtId="169" fontId="30" fillId="6" borderId="15" xfId="3" applyNumberFormat="1" applyFont="1" applyFill="1" applyBorder="1" applyAlignment="1">
      <alignment horizontal="center"/>
    </xf>
    <xf numFmtId="169" fontId="30" fillId="6" borderId="5" xfId="3" applyNumberFormat="1" applyFont="1" applyFill="1" applyBorder="1" applyAlignment="1">
      <alignment vertical="center"/>
    </xf>
    <xf numFmtId="0" fontId="63" fillId="0" borderId="10" xfId="0" applyFont="1" applyBorder="1" applyAlignment="1">
      <alignment wrapText="1"/>
    </xf>
    <xf numFmtId="0" fontId="7" fillId="5" borderId="0" xfId="0" applyFont="1" applyFill="1" applyAlignment="1">
      <alignment vertical="center" wrapText="1"/>
    </xf>
    <xf numFmtId="0" fontId="3" fillId="0" borderId="10" xfId="0" applyFont="1" applyBorder="1"/>
    <xf numFmtId="0" fontId="7" fillId="5" borderId="30" xfId="0" applyFont="1" applyFill="1" applyBorder="1"/>
    <xf numFmtId="169" fontId="7" fillId="5" borderId="30" xfId="0" applyNumberFormat="1" applyFont="1" applyFill="1" applyBorder="1"/>
    <xf numFmtId="0" fontId="7" fillId="5" borderId="30" xfId="0" applyFont="1" applyFill="1" applyBorder="1" applyAlignment="1">
      <alignment vertical="center" wrapText="1"/>
    </xf>
    <xf numFmtId="0" fontId="7" fillId="5" borderId="30" xfId="0" applyFont="1" applyFill="1" applyBorder="1" applyAlignment="1">
      <alignment horizontal="center" vertical="center" wrapText="1"/>
    </xf>
    <xf numFmtId="0" fontId="9" fillId="7" borderId="84" xfId="0" applyFont="1" applyFill="1" applyBorder="1"/>
    <xf numFmtId="0" fontId="7" fillId="7" borderId="34" xfId="0" applyFont="1" applyFill="1" applyBorder="1" applyAlignment="1">
      <alignment vertical="center" wrapText="1"/>
    </xf>
    <xf numFmtId="0" fontId="7" fillId="7" borderId="34" xfId="0" applyFont="1" applyFill="1" applyBorder="1" applyAlignment="1">
      <alignment horizontal="center" vertical="center" wrapText="1"/>
    </xf>
    <xf numFmtId="0" fontId="9" fillId="7" borderId="64" xfId="0" applyFont="1" applyFill="1" applyBorder="1"/>
    <xf numFmtId="0" fontId="9" fillId="7" borderId="30" xfId="0" applyFont="1" applyFill="1" applyBorder="1"/>
    <xf numFmtId="0" fontId="8" fillId="5" borderId="30" xfId="0" applyFont="1" applyFill="1" applyBorder="1"/>
    <xf numFmtId="0" fontId="7" fillId="16" borderId="0" xfId="0" applyFont="1" applyFill="1" applyAlignment="1">
      <alignment horizontal="center" vertical="center"/>
    </xf>
    <xf numFmtId="0" fontId="7" fillId="16" borderId="0" xfId="0" applyFont="1" applyFill="1" applyAlignment="1">
      <alignment horizontal="center" vertical="center" wrapText="1"/>
    </xf>
    <xf numFmtId="0" fontId="7" fillId="16" borderId="10" xfId="0" applyFont="1" applyFill="1" applyBorder="1" applyAlignment="1">
      <alignment vertical="center"/>
    </xf>
    <xf numFmtId="0" fontId="7" fillId="5" borderId="0" xfId="0" applyFont="1" applyFill="1" applyAlignment="1">
      <alignment vertical="center"/>
    </xf>
    <xf numFmtId="0" fontId="7" fillId="16" borderId="10" xfId="0" applyFont="1" applyFill="1" applyBorder="1" applyAlignment="1">
      <alignment horizontal="center" vertical="center" wrapText="1"/>
    </xf>
    <xf numFmtId="0" fontId="9" fillId="7" borderId="26" xfId="0" applyFont="1" applyFill="1" applyBorder="1"/>
    <xf numFmtId="170" fontId="7" fillId="7" borderId="0" xfId="5" applyNumberFormat="1" applyFont="1" applyFill="1" applyBorder="1"/>
    <xf numFmtId="170" fontId="7" fillId="7" borderId="30" xfId="5" applyNumberFormat="1" applyFont="1" applyFill="1" applyBorder="1"/>
    <xf numFmtId="176" fontId="9" fillId="5" borderId="0" xfId="0" applyNumberFormat="1" applyFont="1" applyFill="1"/>
    <xf numFmtId="0" fontId="9" fillId="17" borderId="0" xfId="0" applyFont="1" applyFill="1"/>
    <xf numFmtId="0" fontId="7" fillId="17" borderId="0" xfId="0" applyFont="1" applyFill="1"/>
    <xf numFmtId="0" fontId="2" fillId="17" borderId="0" xfId="0" applyFont="1" applyFill="1"/>
    <xf numFmtId="0" fontId="7" fillId="5" borderId="13" xfId="0" applyFont="1" applyFill="1" applyBorder="1" applyAlignment="1">
      <alignment vertical="center" wrapText="1"/>
    </xf>
    <xf numFmtId="0" fontId="7" fillId="5" borderId="14" xfId="0" applyFont="1" applyFill="1" applyBorder="1" applyAlignment="1">
      <alignment vertical="center" wrapText="1"/>
    </xf>
    <xf numFmtId="0" fontId="7" fillId="5" borderId="15" xfId="0" applyFont="1" applyFill="1" applyBorder="1" applyAlignment="1">
      <alignment vertical="center" wrapText="1"/>
    </xf>
    <xf numFmtId="0" fontId="7" fillId="5" borderId="7" xfId="0" applyFont="1" applyFill="1" applyBorder="1" applyAlignment="1">
      <alignment vertical="center" wrapText="1"/>
    </xf>
    <xf numFmtId="0" fontId="7" fillId="5" borderId="8" xfId="0" applyFont="1" applyFill="1" applyBorder="1" applyAlignment="1">
      <alignment vertical="center" wrapText="1"/>
    </xf>
    <xf numFmtId="0" fontId="7" fillId="5" borderId="12" xfId="0" applyFont="1" applyFill="1" applyBorder="1" applyAlignment="1">
      <alignment vertical="center"/>
    </xf>
    <xf numFmtId="0" fontId="7" fillId="5" borderId="9" xfId="0" applyFont="1" applyFill="1" applyBorder="1"/>
    <xf numFmtId="0" fontId="7" fillId="5" borderId="6" xfId="0" applyFont="1" applyFill="1" applyBorder="1"/>
    <xf numFmtId="0" fontId="7" fillId="5" borderId="9" xfId="0" applyFont="1" applyFill="1" applyBorder="1" applyAlignment="1">
      <alignment vertical="center"/>
    </xf>
    <xf numFmtId="0" fontId="7" fillId="5" borderId="6" xfId="0" applyFont="1" applyFill="1" applyBorder="1" applyAlignment="1">
      <alignment vertical="center"/>
    </xf>
    <xf numFmtId="0" fontId="7" fillId="5" borderId="5" xfId="0" applyFont="1" applyFill="1" applyBorder="1" applyAlignment="1">
      <alignment vertical="top"/>
    </xf>
    <xf numFmtId="0" fontId="7" fillId="5" borderId="5" xfId="0" applyFont="1" applyFill="1" applyBorder="1" applyAlignment="1">
      <alignment horizontal="left" vertical="top"/>
    </xf>
    <xf numFmtId="0" fontId="6" fillId="0" borderId="10" xfId="0" applyFont="1" applyBorder="1" applyAlignment="1">
      <alignment vertical="top" wrapText="1"/>
    </xf>
    <xf numFmtId="0" fontId="7" fillId="5" borderId="9" xfId="0" applyFont="1" applyFill="1" applyBorder="1" applyAlignment="1">
      <alignment vertical="top"/>
    </xf>
    <xf numFmtId="0" fontId="7" fillId="5" borderId="6" xfId="0" applyFont="1" applyFill="1" applyBorder="1" applyAlignment="1">
      <alignment vertical="top"/>
    </xf>
    <xf numFmtId="0" fontId="9" fillId="5" borderId="5" xfId="0" applyFont="1" applyFill="1" applyBorder="1" applyAlignment="1">
      <alignment vertical="center"/>
    </xf>
    <xf numFmtId="0" fontId="9" fillId="5" borderId="9" xfId="0" applyFont="1" applyFill="1" applyBorder="1" applyAlignment="1">
      <alignment vertical="center"/>
    </xf>
    <xf numFmtId="0" fontId="9" fillId="5" borderId="6" xfId="0" applyFont="1" applyFill="1" applyBorder="1" applyAlignment="1">
      <alignment vertical="center"/>
    </xf>
    <xf numFmtId="0" fontId="2" fillId="0" borderId="1" xfId="0" applyFont="1" applyBorder="1" applyAlignment="1">
      <alignment horizontal="left" vertical="top" wrapText="1"/>
    </xf>
    <xf numFmtId="0" fontId="2" fillId="0" borderId="51" xfId="0" applyFont="1" applyBorder="1" applyAlignment="1">
      <alignment wrapText="1"/>
    </xf>
    <xf numFmtId="0" fontId="18" fillId="5" borderId="10" xfId="0" applyFont="1" applyFill="1" applyBorder="1" applyAlignment="1">
      <alignment vertical="center"/>
    </xf>
    <xf numFmtId="169" fontId="32" fillId="7" borderId="14" xfId="0" applyNumberFormat="1" applyFont="1" applyFill="1" applyBorder="1"/>
    <xf numFmtId="169" fontId="32" fillId="5" borderId="8" xfId="0" applyNumberFormat="1" applyFont="1" applyFill="1" applyBorder="1"/>
    <xf numFmtId="169" fontId="34" fillId="5" borderId="0" xfId="0" applyNumberFormat="1" applyFont="1" applyFill="1"/>
    <xf numFmtId="0" fontId="2" fillId="0" borderId="5" xfId="0" applyFont="1" applyBorder="1" applyAlignment="1">
      <alignment horizontal="left" vertical="center" wrapText="1"/>
    </xf>
    <xf numFmtId="0" fontId="6" fillId="0" borderId="6" xfId="0" applyFont="1" applyBorder="1" applyAlignment="1">
      <alignment horizontal="left" vertical="center" wrapText="1"/>
    </xf>
    <xf numFmtId="0" fontId="46" fillId="6" borderId="53" xfId="3" applyFont="1" applyFill="1" applyBorder="1" applyAlignment="1">
      <alignment horizontal="center"/>
    </xf>
    <xf numFmtId="0" fontId="46" fillId="6" borderId="83" xfId="3" applyFont="1" applyFill="1" applyBorder="1" applyAlignment="1">
      <alignment horizontal="center"/>
    </xf>
    <xf numFmtId="176" fontId="6" fillId="0" borderId="0" xfId="0" applyNumberFormat="1" applyFont="1"/>
    <xf numFmtId="0" fontId="45" fillId="6" borderId="10" xfId="3" applyFont="1" applyFill="1" applyBorder="1" applyAlignment="1">
      <alignment horizontal="center"/>
    </xf>
    <xf numFmtId="0" fontId="45" fillId="6" borderId="41" xfId="3" applyFont="1" applyFill="1" applyBorder="1" applyAlignment="1">
      <alignment horizontal="center"/>
    </xf>
    <xf numFmtId="0" fontId="45" fillId="6" borderId="51" xfId="3" applyFont="1" applyFill="1" applyBorder="1" applyAlignment="1">
      <alignment horizontal="center"/>
    </xf>
    <xf numFmtId="0" fontId="45" fillId="6" borderId="53" xfId="3" applyFont="1" applyFill="1" applyBorder="1" applyAlignment="1">
      <alignment horizontal="center"/>
    </xf>
    <xf numFmtId="169" fontId="44" fillId="6" borderId="10" xfId="3" applyNumberFormat="1" applyFont="1" applyFill="1" applyBorder="1" applyAlignment="1">
      <alignment horizontal="center"/>
    </xf>
    <xf numFmtId="169" fontId="44" fillId="6" borderId="41" xfId="3" applyNumberFormat="1" applyFont="1" applyFill="1" applyBorder="1" applyAlignment="1">
      <alignment horizontal="center"/>
    </xf>
    <xf numFmtId="170" fontId="44" fillId="6" borderId="10" xfId="3" applyNumberFormat="1" applyFont="1" applyFill="1" applyBorder="1" applyAlignment="1">
      <alignment horizontal="center"/>
    </xf>
    <xf numFmtId="170" fontId="44" fillId="6" borderId="41" xfId="3" applyNumberFormat="1" applyFont="1" applyFill="1" applyBorder="1" applyAlignment="1">
      <alignment horizontal="center"/>
    </xf>
    <xf numFmtId="0" fontId="44" fillId="6" borderId="10" xfId="3" applyFont="1" applyFill="1" applyBorder="1" applyAlignment="1">
      <alignment horizontal="center"/>
    </xf>
    <xf numFmtId="0" fontId="44" fillId="6" borderId="41" xfId="3" applyFont="1" applyFill="1" applyBorder="1" applyAlignment="1">
      <alignment horizontal="center"/>
    </xf>
    <xf numFmtId="0" fontId="3" fillId="0" borderId="5" xfId="0" applyFont="1" applyBorder="1" applyAlignment="1">
      <alignment wrapText="1"/>
    </xf>
    <xf numFmtId="0" fontId="2" fillId="0" borderId="5" xfId="0" applyFont="1" applyBorder="1" applyAlignment="1">
      <alignment wrapText="1"/>
    </xf>
    <xf numFmtId="0" fontId="6" fillId="9" borderId="48" xfId="0" applyFont="1" applyFill="1" applyBorder="1" applyAlignment="1">
      <alignment horizontal="center"/>
    </xf>
    <xf numFmtId="0" fontId="6" fillId="9" borderId="1" xfId="0" applyFont="1" applyFill="1" applyBorder="1" applyAlignment="1">
      <alignment horizontal="center"/>
    </xf>
    <xf numFmtId="0" fontId="6" fillId="9" borderId="10" xfId="0" applyFont="1" applyFill="1" applyBorder="1" applyAlignment="1">
      <alignment horizontal="center"/>
    </xf>
    <xf numFmtId="169" fontId="6" fillId="9" borderId="10" xfId="0" applyNumberFormat="1" applyFont="1" applyFill="1" applyBorder="1" applyAlignment="1">
      <alignment horizontal="center"/>
    </xf>
    <xf numFmtId="169" fontId="6" fillId="9" borderId="10" xfId="0" applyNumberFormat="1" applyFont="1" applyFill="1" applyBorder="1" applyAlignment="1">
      <alignment horizontal="center" wrapText="1"/>
    </xf>
    <xf numFmtId="169" fontId="44" fillId="9" borderId="10" xfId="0" applyNumberFormat="1" applyFont="1" applyFill="1" applyBorder="1" applyAlignment="1">
      <alignment horizontal="center"/>
    </xf>
    <xf numFmtId="0" fontId="6" fillId="9" borderId="44" xfId="0" applyFont="1" applyFill="1" applyBorder="1" applyAlignment="1">
      <alignment horizontal="center"/>
    </xf>
    <xf numFmtId="169" fontId="6" fillId="9" borderId="1" xfId="0" applyNumberFormat="1" applyFont="1" applyFill="1" applyBorder="1" applyAlignment="1">
      <alignment horizontal="center"/>
    </xf>
    <xf numFmtId="169" fontId="2" fillId="9" borderId="10" xfId="0" applyNumberFormat="1" applyFont="1" applyFill="1" applyBorder="1" applyAlignment="1">
      <alignment horizontal="center" vertical="center" wrapText="1"/>
    </xf>
    <xf numFmtId="169" fontId="6" fillId="9" borderId="10" xfId="0" applyNumberFormat="1" applyFont="1" applyFill="1" applyBorder="1" applyAlignment="1">
      <alignment horizontal="center" vertical="center"/>
    </xf>
    <xf numFmtId="169" fontId="6" fillId="5" borderId="10" xfId="0" applyNumberFormat="1" applyFont="1" applyFill="1" applyBorder="1" applyAlignment="1">
      <alignment horizontal="center" vertical="center"/>
    </xf>
    <xf numFmtId="0" fontId="6" fillId="5" borderId="10" xfId="0" applyFont="1" applyFill="1" applyBorder="1" applyAlignment="1">
      <alignment horizontal="center"/>
    </xf>
    <xf numFmtId="0" fontId="6" fillId="5" borderId="44" xfId="0" applyFont="1" applyFill="1" applyBorder="1" applyAlignment="1">
      <alignment horizontal="center"/>
    </xf>
    <xf numFmtId="0" fontId="6" fillId="5" borderId="0" xfId="0" applyFont="1" applyFill="1" applyAlignment="1">
      <alignment horizontal="center"/>
    </xf>
    <xf numFmtId="0" fontId="6" fillId="8" borderId="0" xfId="0" applyFont="1" applyFill="1" applyAlignment="1">
      <alignment horizontal="center"/>
    </xf>
    <xf numFmtId="0" fontId="44" fillId="6" borderId="48" xfId="3" applyFont="1" applyFill="1" applyBorder="1" applyAlignment="1">
      <alignment horizontal="center"/>
    </xf>
    <xf numFmtId="0" fontId="44" fillId="6" borderId="1" xfId="3" applyFont="1" applyFill="1" applyBorder="1" applyAlignment="1">
      <alignment horizontal="center"/>
    </xf>
    <xf numFmtId="169" fontId="44" fillId="6" borderId="10" xfId="3" applyNumberFormat="1" applyFont="1" applyFill="1" applyBorder="1" applyAlignment="1">
      <alignment horizontal="center" wrapText="1"/>
    </xf>
    <xf numFmtId="169" fontId="44" fillId="6" borderId="10" xfId="3" applyNumberFormat="1" applyFont="1" applyFill="1" applyBorder="1" applyAlignment="1">
      <alignment horizontal="center" vertical="center"/>
    </xf>
    <xf numFmtId="0" fontId="44" fillId="6" borderId="44" xfId="3" applyFont="1" applyFill="1" applyBorder="1" applyAlignment="1">
      <alignment horizontal="center"/>
    </xf>
    <xf numFmtId="0" fontId="44" fillId="4" borderId="0" xfId="3" applyFont="1" applyBorder="1" applyAlignment="1">
      <alignment horizontal="center"/>
    </xf>
    <xf numFmtId="0" fontId="44" fillId="6" borderId="40" xfId="3" applyFont="1" applyFill="1" applyBorder="1" applyAlignment="1">
      <alignment horizontal="center"/>
    </xf>
    <xf numFmtId="0" fontId="44" fillId="6" borderId="52" xfId="3" applyFont="1" applyFill="1" applyBorder="1" applyAlignment="1">
      <alignment horizontal="center"/>
    </xf>
    <xf numFmtId="169" fontId="44" fillId="6" borderId="41" xfId="3" applyNumberFormat="1" applyFont="1" applyFill="1" applyBorder="1" applyAlignment="1">
      <alignment horizontal="center" wrapText="1"/>
    </xf>
    <xf numFmtId="169" fontId="44" fillId="6" borderId="41" xfId="3" applyNumberFormat="1" applyFont="1" applyFill="1" applyBorder="1" applyAlignment="1">
      <alignment horizontal="center" vertical="center"/>
    </xf>
    <xf numFmtId="0" fontId="44" fillId="6" borderId="46" xfId="3" applyFont="1" applyFill="1" applyBorder="1" applyAlignment="1">
      <alignment horizontal="center"/>
    </xf>
    <xf numFmtId="0" fontId="32" fillId="0" borderId="42" xfId="0" applyFont="1" applyBorder="1"/>
    <xf numFmtId="0" fontId="32" fillId="0" borderId="10" xfId="0" applyFont="1" applyBorder="1"/>
    <xf numFmtId="169" fontId="36" fillId="0" borderId="10" xfId="0" applyNumberFormat="1" applyFont="1" applyBorder="1"/>
    <xf numFmtId="169" fontId="36" fillId="0" borderId="27" xfId="0" applyNumberFormat="1" applyFont="1" applyBorder="1"/>
    <xf numFmtId="0" fontId="32" fillId="7" borderId="42" xfId="0" applyFont="1" applyFill="1" applyBorder="1"/>
    <xf numFmtId="0" fontId="32" fillId="7" borderId="10" xfId="0" applyFont="1" applyFill="1" applyBorder="1"/>
    <xf numFmtId="169" fontId="36" fillId="7" borderId="10" xfId="0" applyNumberFormat="1" applyFont="1" applyFill="1" applyBorder="1"/>
    <xf numFmtId="169" fontId="36" fillId="7" borderId="27" xfId="0" applyNumberFormat="1" applyFont="1" applyFill="1" applyBorder="1"/>
    <xf numFmtId="0" fontId="6" fillId="0" borderId="67" xfId="0" applyFont="1" applyBorder="1" applyAlignment="1">
      <alignment horizontal="left" wrapText="1"/>
    </xf>
    <xf numFmtId="0" fontId="6" fillId="0" borderId="9" xfId="0" applyFont="1" applyBorder="1" applyAlignment="1">
      <alignment horizontal="left" wrapText="1"/>
    </xf>
    <xf numFmtId="0" fontId="6" fillId="0" borderId="6" xfId="0" applyFont="1" applyBorder="1" applyAlignment="1">
      <alignment horizontal="left" wrapText="1"/>
    </xf>
    <xf numFmtId="0" fontId="2" fillId="0" borderId="67" xfId="0" applyFont="1" applyBorder="1" applyAlignment="1">
      <alignment horizontal="left" wrapText="1"/>
    </xf>
    <xf numFmtId="0" fontId="63" fillId="0" borderId="10" xfId="0" applyFont="1" applyBorder="1" applyAlignment="1">
      <alignment horizontal="center" vertical="center"/>
    </xf>
    <xf numFmtId="0" fontId="2" fillId="0" borderId="78" xfId="0" applyFont="1" applyBorder="1" applyAlignment="1">
      <alignment horizontal="left" vertical="center" wrapText="1"/>
    </xf>
    <xf numFmtId="0" fontId="2" fillId="0" borderId="79" xfId="0" applyFont="1" applyBorder="1" applyAlignment="1">
      <alignment horizontal="left" vertical="center" wrapText="1"/>
    </xf>
    <xf numFmtId="0" fontId="2" fillId="0" borderId="5" xfId="0" applyFont="1" applyBorder="1" applyAlignment="1">
      <alignment horizontal="left" vertical="center" wrapText="1"/>
    </xf>
    <xf numFmtId="0" fontId="6" fillId="0" borderId="6" xfId="0" applyFont="1" applyBorder="1" applyAlignment="1">
      <alignment horizontal="left" vertical="center" wrapText="1"/>
    </xf>
    <xf numFmtId="0" fontId="2" fillId="0" borderId="0" xfId="0" applyFont="1" applyAlignment="1">
      <alignment horizontal="left" vertical="center" wrapText="1"/>
    </xf>
    <xf numFmtId="0" fontId="0" fillId="0" borderId="12" xfId="0" applyBorder="1" applyAlignment="1">
      <alignment horizontal="center" wrapText="1"/>
    </xf>
    <xf numFmtId="0" fontId="0" fillId="0" borderId="14" xfId="0" applyBorder="1" applyAlignment="1">
      <alignment horizontal="center" wrapText="1"/>
    </xf>
    <xf numFmtId="0" fontId="0" fillId="0" borderId="73" xfId="0" applyBorder="1" applyAlignment="1">
      <alignment horizontal="center" wrapText="1"/>
    </xf>
    <xf numFmtId="0" fontId="0" fillId="0" borderId="28" xfId="0" applyBorder="1" applyAlignment="1">
      <alignment horizontal="center" wrapText="1"/>
    </xf>
    <xf numFmtId="0" fontId="0" fillId="0" borderId="15" xfId="0" applyBorder="1" applyAlignment="1">
      <alignment horizontal="center" wrapText="1"/>
    </xf>
    <xf numFmtId="0" fontId="0" fillId="0" borderId="8" xfId="0" applyBorder="1" applyAlignment="1">
      <alignment horizontal="center" wrapText="1"/>
    </xf>
    <xf numFmtId="0" fontId="0" fillId="0" borderId="13" xfId="0" applyBorder="1" applyAlignment="1">
      <alignment horizontal="center" wrapText="1"/>
    </xf>
    <xf numFmtId="0" fontId="0" fillId="0" borderId="71" xfId="0" applyBorder="1" applyAlignment="1">
      <alignment horizontal="center" wrapText="1"/>
    </xf>
    <xf numFmtId="0" fontId="0" fillId="0" borderId="0" xfId="0" applyAlignment="1">
      <alignment horizontal="center" wrapText="1"/>
    </xf>
    <xf numFmtId="0" fontId="0" fillId="0" borderId="27" xfId="0" applyBorder="1" applyAlignment="1">
      <alignment horizontal="center" wrapText="1"/>
    </xf>
    <xf numFmtId="0" fontId="0" fillId="0" borderId="7" xfId="0" applyBorder="1" applyAlignment="1">
      <alignment horizontal="center" wrapText="1"/>
    </xf>
    <xf numFmtId="0" fontId="0" fillId="0" borderId="37" xfId="0" applyBorder="1" applyAlignment="1">
      <alignment horizontal="center" wrapText="1"/>
    </xf>
    <xf numFmtId="0" fontId="43" fillId="0" borderId="42" xfId="0" applyFont="1" applyBorder="1" applyAlignment="1">
      <alignment vertical="center"/>
    </xf>
    <xf numFmtId="0" fontId="43" fillId="0" borderId="10" xfId="0" applyFont="1" applyBorder="1" applyAlignment="1">
      <alignment vertical="center"/>
    </xf>
    <xf numFmtId="0" fontId="13" fillId="0" borderId="5" xfId="0" applyFont="1" applyBorder="1" applyAlignment="1">
      <alignment horizontal="center"/>
    </xf>
    <xf numFmtId="0" fontId="13" fillId="0" borderId="9" xfId="0" applyFont="1" applyBorder="1" applyAlignment="1">
      <alignment horizontal="center"/>
    </xf>
    <xf numFmtId="0" fontId="13" fillId="0" borderId="18" xfId="0" applyFont="1" applyBorder="1" applyAlignment="1">
      <alignment horizontal="center"/>
    </xf>
    <xf numFmtId="0" fontId="0" fillId="0" borderId="72" xfId="0" applyBorder="1" applyAlignment="1">
      <alignment horizontal="center" wrapText="1"/>
    </xf>
    <xf numFmtId="0" fontId="0" fillId="0" borderId="26" xfId="0" applyBorder="1" applyAlignment="1">
      <alignment horizontal="center" wrapText="1"/>
    </xf>
    <xf numFmtId="0" fontId="0" fillId="0" borderId="31" xfId="0" applyBorder="1" applyAlignment="1">
      <alignment horizontal="center" wrapText="1"/>
    </xf>
    <xf numFmtId="0" fontId="0" fillId="0" borderId="32" xfId="0" applyBorder="1" applyAlignment="1">
      <alignment horizontal="center" wrapText="1"/>
    </xf>
    <xf numFmtId="0" fontId="0" fillId="0" borderId="33" xfId="0" applyBorder="1" applyAlignment="1">
      <alignment horizontal="center" wrapText="1"/>
    </xf>
    <xf numFmtId="0" fontId="46" fillId="0" borderId="72" xfId="0" applyFont="1" applyBorder="1" applyAlignment="1">
      <alignment horizontal="center" wrapText="1"/>
    </xf>
    <xf numFmtId="0" fontId="46" fillId="0" borderId="26" xfId="0" applyFont="1" applyBorder="1" applyAlignment="1">
      <alignment horizontal="center" wrapText="1"/>
    </xf>
    <xf numFmtId="0" fontId="46" fillId="0" borderId="66" xfId="0" applyFont="1" applyBorder="1" applyAlignment="1">
      <alignment horizontal="center" wrapText="1"/>
    </xf>
    <xf numFmtId="10" fontId="10" fillId="0" borderId="16" xfId="0" applyNumberFormat="1" applyFont="1" applyBorder="1" applyAlignment="1">
      <alignment horizontal="center" wrapText="1"/>
    </xf>
    <xf numFmtId="10" fontId="10" fillId="0" borderId="1" xfId="0" applyNumberFormat="1" applyFont="1" applyBorder="1" applyAlignment="1">
      <alignment horizontal="center" wrapText="1"/>
    </xf>
    <xf numFmtId="0" fontId="9" fillId="5" borderId="0" xfId="0" applyFont="1" applyFill="1" applyAlignment="1">
      <alignment horizontal="left" wrapText="1"/>
    </xf>
    <xf numFmtId="0" fontId="7" fillId="5" borderId="5" xfId="0" applyFont="1" applyFill="1" applyBorder="1" applyAlignment="1">
      <alignment horizontal="left" wrapText="1"/>
    </xf>
    <xf numFmtId="0" fontId="7" fillId="5" borderId="9" xfId="0" applyFont="1" applyFill="1" applyBorder="1" applyAlignment="1">
      <alignment horizontal="left" wrapText="1"/>
    </xf>
    <xf numFmtId="0" fontId="7" fillId="5" borderId="6" xfId="0" applyFont="1" applyFill="1" applyBorder="1" applyAlignment="1">
      <alignment horizontal="left" wrapText="1"/>
    </xf>
    <xf numFmtId="0" fontId="7" fillId="5" borderId="5" xfId="0" applyFont="1" applyFill="1" applyBorder="1" applyAlignment="1">
      <alignment horizontal="center" wrapText="1"/>
    </xf>
    <xf numFmtId="0" fontId="7" fillId="5" borderId="9" xfId="0" applyFont="1" applyFill="1" applyBorder="1" applyAlignment="1">
      <alignment horizontal="center" wrapText="1"/>
    </xf>
    <xf numFmtId="0" fontId="7" fillId="5" borderId="6" xfId="0" applyFont="1" applyFill="1" applyBorder="1" applyAlignment="1">
      <alignment horizontal="center" wrapText="1"/>
    </xf>
    <xf numFmtId="0" fontId="7" fillId="5" borderId="5" xfId="0" applyFont="1" applyFill="1" applyBorder="1" applyAlignment="1">
      <alignment horizontal="left" vertical="center" wrapText="1"/>
    </xf>
    <xf numFmtId="0" fontId="7" fillId="5" borderId="9" xfId="0" applyFont="1" applyFill="1" applyBorder="1" applyAlignment="1">
      <alignment horizontal="left" vertical="center" wrapText="1"/>
    </xf>
    <xf numFmtId="0" fontId="7" fillId="5" borderId="6" xfId="0" applyFont="1" applyFill="1" applyBorder="1" applyAlignment="1">
      <alignment horizontal="left" vertical="center" wrapText="1"/>
    </xf>
    <xf numFmtId="0" fontId="9" fillId="5" borderId="5" xfId="0" applyFont="1" applyFill="1" applyBorder="1" applyAlignment="1">
      <alignment horizontal="left" vertical="center" wrapText="1"/>
    </xf>
    <xf numFmtId="0" fontId="9" fillId="5" borderId="9" xfId="0" applyFont="1" applyFill="1" applyBorder="1" applyAlignment="1">
      <alignment horizontal="left" vertical="center" wrapText="1"/>
    </xf>
    <xf numFmtId="0" fontId="9" fillId="5" borderId="6" xfId="0" applyFont="1" applyFill="1" applyBorder="1" applyAlignment="1">
      <alignment horizontal="left" vertical="center" wrapText="1"/>
    </xf>
    <xf numFmtId="0" fontId="2" fillId="5" borderId="5"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5" borderId="6" xfId="0" applyFont="1" applyFill="1" applyBorder="1" applyAlignment="1">
      <alignment horizontal="left" vertical="center" wrapText="1"/>
    </xf>
    <xf numFmtId="0" fontId="3" fillId="5" borderId="5" xfId="0" applyFont="1" applyFill="1" applyBorder="1" applyAlignment="1">
      <alignment horizontal="left" vertical="center"/>
    </xf>
    <xf numFmtId="0" fontId="3" fillId="5" borderId="9" xfId="0" applyFont="1" applyFill="1" applyBorder="1" applyAlignment="1">
      <alignment horizontal="left" vertical="center"/>
    </xf>
    <xf numFmtId="0" fontId="3" fillId="5" borderId="6" xfId="0" applyFont="1" applyFill="1" applyBorder="1" applyAlignment="1">
      <alignment horizontal="left" vertical="center"/>
    </xf>
    <xf numFmtId="0" fontId="2"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78" xfId="0" applyFont="1" applyBorder="1" applyAlignment="1">
      <alignment horizontal="center" vertical="center" wrapText="1"/>
    </xf>
    <xf numFmtId="0" fontId="6" fillId="0" borderId="79" xfId="0" applyFont="1" applyBorder="1" applyAlignment="1">
      <alignment horizontal="center" vertical="center" wrapText="1"/>
    </xf>
    <xf numFmtId="0" fontId="7" fillId="5" borderId="5" xfId="0" applyFont="1" applyFill="1" applyBorder="1" applyAlignment="1">
      <alignment horizontal="left"/>
    </xf>
    <xf numFmtId="0" fontId="7" fillId="5" borderId="9" xfId="0" applyFont="1" applyFill="1" applyBorder="1" applyAlignment="1">
      <alignment horizontal="left"/>
    </xf>
    <xf numFmtId="0" fontId="7" fillId="5" borderId="6" xfId="0" applyFont="1" applyFill="1" applyBorder="1" applyAlignment="1">
      <alignment horizontal="left"/>
    </xf>
    <xf numFmtId="0" fontId="18" fillId="5" borderId="5" xfId="0" applyFont="1" applyFill="1" applyBorder="1" applyAlignment="1">
      <alignment wrapText="1"/>
    </xf>
    <xf numFmtId="0" fontId="18" fillId="5" borderId="9" xfId="0" applyFont="1" applyFill="1" applyBorder="1" applyAlignment="1">
      <alignment wrapText="1"/>
    </xf>
    <xf numFmtId="0" fontId="18" fillId="5" borderId="6" xfId="0" applyFont="1" applyFill="1" applyBorder="1" applyAlignment="1">
      <alignment wrapText="1"/>
    </xf>
    <xf numFmtId="0" fontId="7" fillId="5" borderId="5" xfId="0" applyFont="1" applyFill="1" applyBorder="1" applyAlignment="1">
      <alignment wrapText="1"/>
    </xf>
    <xf numFmtId="0" fontId="7" fillId="5" borderId="9" xfId="0" applyFont="1" applyFill="1" applyBorder="1" applyAlignment="1">
      <alignment wrapText="1"/>
    </xf>
    <xf numFmtId="0" fontId="7" fillId="5" borderId="6" xfId="0" applyFont="1" applyFill="1" applyBorder="1" applyAlignment="1">
      <alignment wrapText="1"/>
    </xf>
    <xf numFmtId="0" fontId="9" fillId="5" borderId="5" xfId="0" applyFont="1" applyFill="1" applyBorder="1" applyAlignment="1">
      <alignment horizontal="center"/>
    </xf>
    <xf numFmtId="0" fontId="9" fillId="5" borderId="9" xfId="0" applyFont="1" applyFill="1" applyBorder="1" applyAlignment="1">
      <alignment horizontal="center"/>
    </xf>
    <xf numFmtId="0" fontId="9" fillId="5" borderId="6" xfId="0" applyFont="1" applyFill="1" applyBorder="1" applyAlignment="1">
      <alignment horizontal="center"/>
    </xf>
    <xf numFmtId="0" fontId="7" fillId="5" borderId="13" xfId="0" applyFont="1" applyFill="1" applyBorder="1" applyAlignment="1">
      <alignment horizontal="left" wrapText="1"/>
    </xf>
    <xf numFmtId="0" fontId="7" fillId="5" borderId="5" xfId="0" applyFont="1" applyFill="1" applyBorder="1" applyAlignment="1">
      <alignment vertical="center" wrapText="1"/>
    </xf>
    <xf numFmtId="0" fontId="7" fillId="5" borderId="9" xfId="0" applyFont="1" applyFill="1" applyBorder="1" applyAlignment="1">
      <alignment vertical="center" wrapText="1"/>
    </xf>
    <xf numFmtId="0" fontId="7" fillId="5" borderId="6" xfId="0" applyFont="1" applyFill="1" applyBorder="1" applyAlignment="1">
      <alignment vertical="center" wrapText="1"/>
    </xf>
    <xf numFmtId="0" fontId="7" fillId="16" borderId="16" xfId="0" applyFont="1" applyFill="1" applyBorder="1" applyAlignment="1">
      <alignment horizontal="center" vertical="center"/>
    </xf>
    <xf numFmtId="0" fontId="7" fillId="16" borderId="1" xfId="0" applyFont="1" applyFill="1" applyBorder="1" applyAlignment="1">
      <alignment horizontal="center" vertical="center"/>
    </xf>
    <xf numFmtId="0" fontId="7" fillId="16" borderId="10" xfId="0" applyFont="1" applyFill="1" applyBorder="1" applyAlignment="1">
      <alignment horizontal="center" vertical="center"/>
    </xf>
    <xf numFmtId="0" fontId="9" fillId="5" borderId="0" xfId="0" applyFont="1" applyFill="1" applyAlignment="1">
      <alignment horizontal="center"/>
    </xf>
    <xf numFmtId="0" fontId="7" fillId="5" borderId="5" xfId="0" applyFont="1" applyFill="1" applyBorder="1" applyAlignment="1">
      <alignment horizontal="center" vertical="top" wrapText="1"/>
    </xf>
    <xf numFmtId="0" fontId="7" fillId="5" borderId="9" xfId="0" applyFont="1" applyFill="1" applyBorder="1" applyAlignment="1">
      <alignment horizontal="center" vertical="top" wrapText="1"/>
    </xf>
    <xf numFmtId="0" fontId="7" fillId="5" borderId="6" xfId="0" applyFont="1" applyFill="1" applyBorder="1" applyAlignment="1">
      <alignment horizontal="center" vertical="top" wrapText="1"/>
    </xf>
    <xf numFmtId="0" fontId="7" fillId="5" borderId="5" xfId="0" applyFont="1" applyFill="1" applyBorder="1" applyAlignment="1">
      <alignment horizontal="left" vertical="top" wrapText="1"/>
    </xf>
    <xf numFmtId="0" fontId="7" fillId="5" borderId="9" xfId="0" applyFont="1" applyFill="1" applyBorder="1" applyAlignment="1">
      <alignment horizontal="left" vertical="top" wrapText="1"/>
    </xf>
    <xf numFmtId="0" fontId="7" fillId="5" borderId="6" xfId="0" applyFont="1" applyFill="1" applyBorder="1" applyAlignment="1">
      <alignment horizontal="left" vertical="top" wrapText="1"/>
    </xf>
    <xf numFmtId="0" fontId="2" fillId="0" borderId="79" xfId="0" applyFont="1" applyBorder="1" applyAlignment="1">
      <alignment horizontal="center" vertical="center" wrapText="1"/>
    </xf>
    <xf numFmtId="0" fontId="3" fillId="0" borderId="5" xfId="0" applyFont="1" applyBorder="1" applyAlignment="1">
      <alignment horizontal="left" vertical="center" wrapText="1"/>
    </xf>
    <xf numFmtId="0" fontId="3" fillId="0" borderId="9"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center" vertical="center"/>
    </xf>
    <xf numFmtId="9" fontId="44" fillId="6" borderId="10" xfId="5" applyFont="1" applyFill="1" applyBorder="1" applyAlignment="1">
      <alignment horizontal="center"/>
    </xf>
  </cellXfs>
  <cellStyles count="9">
    <cellStyle name="Comma" xfId="1" builtinId="3"/>
    <cellStyle name="Comma 2" xfId="6" xr:uid="{00000000-0005-0000-0000-000001000000}"/>
    <cellStyle name="Currency" xfId="2" builtinId="4"/>
    <cellStyle name="Good" xfId="3" builtinId="26"/>
    <cellStyle name="Hyperlink" xfId="8" builtinId="8"/>
    <cellStyle name="Normal" xfId="0" builtinId="0"/>
    <cellStyle name="Normal 2" xfId="4" xr:uid="{00000000-0005-0000-0000-000006000000}"/>
    <cellStyle name="Percent" xfId="5" builtinId="5"/>
    <cellStyle name="Percent 2" xfId="7" xr:uid="{00000000-0005-0000-0000-000009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0F2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obus.booysen.CENTLEC-DC\AppData\Local\Microsoft\Windows\Temporary%20Internet%20Files\Content.Outlook\1SMNCPL7\ServicesTariffCalc_%202014%202015%20Rev%20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tariffs"/>
      <sheetName val="Calc sheet"/>
      <sheetName val="Summary sheet"/>
      <sheetName val="Sheet1"/>
    </sheetNames>
    <sheetDataSet>
      <sheetData sheetId="0">
        <row r="126">
          <cell r="B126" t="str">
            <v>Secondary Backbone - MV Peri Urban</v>
          </cell>
        </row>
      </sheetData>
      <sheetData sheetId="1"/>
      <sheetData sheetId="2"/>
      <sheetData sheetId="3" refreshError="1"/>
    </sheetDataSet>
  </externalBook>
</externalLink>
</file>

<file path=xl/persons/person.xml><?xml version="1.0" encoding="utf-8"?>
<personList xmlns="http://schemas.microsoft.com/office/spreadsheetml/2018/threadedcomments" xmlns:x="http://schemas.openxmlformats.org/spreadsheetml/2006/main">
  <person displayName="Xoliswa Machaba" id="{5624B9EF-44F7-49CE-BDEA-A77AD2989C76}" userId="S::Xoliswa.Machaba@centlec.co.za::02c20b49-9620-4c78-a8ae-3a44a3ed9b4e"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36" dT="2026-03-12T11:07:43.17" personId="{5624B9EF-44F7-49CE-BDEA-A77AD2989C76}" id="{9FDAE2E2-F01C-412A-B285-2AC4ADD8691F}">
    <text xml:space="preserve">The store price is R1075, but not a stock item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tradingeconomics.com/south-africa/inflation-cpi"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181"/>
  <sheetViews>
    <sheetView view="pageBreakPreview" topLeftCell="A16" zoomScale="88" zoomScaleNormal="100" zoomScaleSheetLayoutView="88" workbookViewId="0">
      <selection activeCell="F38" sqref="F38"/>
    </sheetView>
  </sheetViews>
  <sheetFormatPr defaultRowHeight="12.5" x14ac:dyDescent="0.25"/>
  <cols>
    <col min="1" max="1" width="5.453125" customWidth="1"/>
    <col min="2" max="2" width="50.453125" bestFit="1" customWidth="1"/>
    <col min="3" max="3" width="15.6328125" customWidth="1"/>
    <col min="4" max="4" width="11.453125" customWidth="1"/>
    <col min="5" max="5" width="13.90625" customWidth="1"/>
    <col min="6" max="6" width="16.6328125" customWidth="1"/>
    <col min="7" max="7" width="12.36328125" customWidth="1"/>
    <col min="8" max="8" width="11.36328125" style="63" customWidth="1"/>
    <col min="9" max="9" width="14.36328125" customWidth="1"/>
    <col min="10" max="10" width="31" customWidth="1"/>
    <col min="11" max="11" width="28.81640625" bestFit="1" customWidth="1"/>
    <col min="12" max="12" width="20.81640625" customWidth="1"/>
    <col min="13" max="13" width="30" customWidth="1"/>
    <col min="14" max="14" width="28.36328125" customWidth="1"/>
    <col min="15" max="15" width="12.54296875" customWidth="1"/>
    <col min="16" max="16" width="12" bestFit="1" customWidth="1"/>
    <col min="17" max="17" width="18.81640625" customWidth="1"/>
    <col min="18" max="18" width="17.453125" customWidth="1"/>
    <col min="19" max="19" width="12.1796875" bestFit="1" customWidth="1"/>
  </cols>
  <sheetData>
    <row r="1" spans="1:21" ht="15.5" x14ac:dyDescent="0.35">
      <c r="A1" s="158"/>
      <c r="B1" s="463" t="s">
        <v>128</v>
      </c>
      <c r="C1" s="159"/>
      <c r="D1" s="159"/>
      <c r="E1" s="159"/>
      <c r="F1" s="159"/>
      <c r="G1" s="159"/>
      <c r="H1" s="464"/>
    </row>
    <row r="2" spans="1:21" ht="13" x14ac:dyDescent="0.3">
      <c r="A2" s="160"/>
      <c r="B2" s="465" t="s">
        <v>147</v>
      </c>
      <c r="E2" s="2" t="s">
        <v>350</v>
      </c>
      <c r="F2" s="673">
        <f>3.7%+2%</f>
        <v>5.7000000000000009E-2</v>
      </c>
      <c r="G2" s="690" t="s">
        <v>467</v>
      </c>
      <c r="H2" s="466"/>
    </row>
    <row r="3" spans="1:21" ht="13" thickBot="1" x14ac:dyDescent="0.3">
      <c r="A3" s="160"/>
      <c r="E3" t="s">
        <v>441</v>
      </c>
      <c r="F3" s="642">
        <v>0.15</v>
      </c>
      <c r="H3" s="466"/>
    </row>
    <row r="4" spans="1:21" ht="13.5" thickTop="1" x14ac:dyDescent="0.3">
      <c r="A4" s="467"/>
      <c r="B4" s="5"/>
      <c r="C4" s="5"/>
      <c r="D4" s="5"/>
      <c r="E4" s="5"/>
      <c r="F4" s="64"/>
      <c r="H4" s="466"/>
    </row>
    <row r="5" spans="1:21" ht="13" x14ac:dyDescent="0.3">
      <c r="A5" s="468"/>
      <c r="B5" s="8"/>
      <c r="C5" s="9"/>
      <c r="D5" s="10" t="s">
        <v>36</v>
      </c>
      <c r="E5" s="61">
        <v>45838</v>
      </c>
      <c r="F5" s="59" t="s">
        <v>786</v>
      </c>
      <c r="H5" s="466"/>
    </row>
    <row r="6" spans="1:21" ht="13.5" thickBot="1" x14ac:dyDescent="0.35">
      <c r="A6" s="469" t="s">
        <v>0</v>
      </c>
      <c r="B6" s="11"/>
      <c r="C6" s="11"/>
      <c r="D6" s="12"/>
      <c r="E6" s="12"/>
      <c r="F6" s="57" t="s">
        <v>0</v>
      </c>
      <c r="G6" s="1"/>
      <c r="H6" s="470"/>
      <c r="I6" s="1"/>
      <c r="J6" s="1"/>
      <c r="K6" s="1"/>
      <c r="L6" s="1"/>
      <c r="M6" s="1"/>
      <c r="N6" s="1"/>
      <c r="O6" s="1"/>
      <c r="P6" s="1"/>
      <c r="Q6" s="1"/>
      <c r="R6" s="1"/>
      <c r="S6" s="1"/>
      <c r="T6" s="1"/>
      <c r="U6" s="1"/>
    </row>
    <row r="7" spans="1:21" ht="25.25" customHeight="1" x14ac:dyDescent="0.35">
      <c r="A7" s="471"/>
      <c r="B7" s="22" t="s">
        <v>353</v>
      </c>
      <c r="C7" s="500">
        <v>0.1</v>
      </c>
      <c r="D7" s="22" t="s">
        <v>97</v>
      </c>
      <c r="E7" s="62">
        <v>10000</v>
      </c>
      <c r="F7" s="211">
        <v>10000</v>
      </c>
      <c r="H7" s="466"/>
      <c r="J7" s="494" t="s">
        <v>354</v>
      </c>
      <c r="K7" s="496" t="s">
        <v>474</v>
      </c>
      <c r="L7" s="496" t="s">
        <v>355</v>
      </c>
      <c r="M7" s="496" t="s">
        <v>356</v>
      </c>
      <c r="N7" s="498" t="s">
        <v>357</v>
      </c>
    </row>
    <row r="8" spans="1:21" ht="16.25" customHeight="1" x14ac:dyDescent="0.35">
      <c r="A8" s="471"/>
      <c r="B8" s="16"/>
      <c r="C8" s="16"/>
      <c r="D8" s="12"/>
      <c r="E8" s="21"/>
      <c r="F8" s="58"/>
      <c r="H8" s="466"/>
      <c r="J8" s="495" t="s">
        <v>358</v>
      </c>
      <c r="K8" s="503">
        <v>116930683.09999999</v>
      </c>
      <c r="L8" s="497">
        <v>1</v>
      </c>
      <c r="M8" s="503">
        <v>93876659.180000007</v>
      </c>
      <c r="N8" s="499">
        <v>1</v>
      </c>
      <c r="O8" s="505">
        <f>+(M8-K8)/K8</f>
        <v>-0.19715974720068993</v>
      </c>
      <c r="P8" s="151" t="s">
        <v>364</v>
      </c>
    </row>
    <row r="9" spans="1:21" ht="15" customHeight="1" x14ac:dyDescent="0.35">
      <c r="A9" s="472"/>
      <c r="B9" s="917" t="s">
        <v>35</v>
      </c>
      <c r="C9" s="918"/>
      <c r="D9" s="918"/>
      <c r="E9" s="918"/>
      <c r="F9" s="919"/>
      <c r="H9" s="466"/>
      <c r="J9" s="495" t="s">
        <v>359</v>
      </c>
      <c r="K9" s="503">
        <v>92316214.239999995</v>
      </c>
      <c r="L9" s="497">
        <v>0.79</v>
      </c>
      <c r="M9" s="503">
        <v>60044334.590000004</v>
      </c>
      <c r="N9" s="499">
        <v>0.64</v>
      </c>
      <c r="O9" s="505">
        <f t="shared" ref="O9" si="0">+(M9-K9)/K9</f>
        <v>-0.34957975601231711</v>
      </c>
      <c r="P9" s="151" t="s">
        <v>364</v>
      </c>
    </row>
    <row r="10" spans="1:21" ht="13.5" customHeight="1" x14ac:dyDescent="0.35">
      <c r="A10" s="472"/>
      <c r="B10" s="30"/>
      <c r="C10" s="31"/>
      <c r="D10" s="31"/>
      <c r="E10" s="31"/>
      <c r="F10" s="65"/>
      <c r="H10" s="466"/>
      <c r="J10" s="495" t="s">
        <v>360</v>
      </c>
      <c r="K10" s="503">
        <v>24614468.850000001</v>
      </c>
      <c r="L10" s="501">
        <v>0.21</v>
      </c>
      <c r="M10" s="503">
        <v>33832324.579999998</v>
      </c>
      <c r="N10" s="499">
        <v>0.36</v>
      </c>
      <c r="O10" s="506">
        <f>+(M10-K10)/K10</f>
        <v>0.37448932114576161</v>
      </c>
      <c r="P10" s="507" t="s">
        <v>364</v>
      </c>
    </row>
    <row r="11" spans="1:21" ht="15" customHeight="1" x14ac:dyDescent="0.3">
      <c r="A11" s="472" t="s">
        <v>1</v>
      </c>
      <c r="B11" s="13" t="s">
        <v>39</v>
      </c>
      <c r="C11" s="13"/>
      <c r="D11" s="14"/>
      <c r="E11" s="79" t="s">
        <v>620</v>
      </c>
      <c r="F11" s="66" t="s">
        <v>734</v>
      </c>
      <c r="H11" s="466"/>
      <c r="J11" s="925" t="s">
        <v>361</v>
      </c>
      <c r="K11" s="903" t="s">
        <v>473</v>
      </c>
      <c r="L11" s="904"/>
      <c r="M11" s="909" t="s">
        <v>363</v>
      </c>
      <c r="N11" s="910"/>
    </row>
    <row r="12" spans="1:21" ht="13.5" customHeight="1" x14ac:dyDescent="0.3">
      <c r="A12" s="472"/>
      <c r="B12" s="33"/>
      <c r="C12" s="34"/>
      <c r="D12" s="35"/>
      <c r="E12" s="80" t="s">
        <v>259</v>
      </c>
      <c r="F12" s="59" t="s">
        <v>192</v>
      </c>
      <c r="H12" s="473"/>
      <c r="J12" s="926"/>
      <c r="K12" s="905"/>
      <c r="L12" s="906"/>
      <c r="M12" s="911"/>
      <c r="N12" s="912"/>
    </row>
    <row r="13" spans="1:21" ht="13" x14ac:dyDescent="0.3">
      <c r="A13" s="472"/>
      <c r="B13" s="37" t="s">
        <v>34</v>
      </c>
      <c r="C13" s="12"/>
      <c r="D13" s="36"/>
      <c r="E13" s="20"/>
      <c r="F13" s="56"/>
      <c r="H13" s="473"/>
      <c r="J13" s="926"/>
      <c r="K13" s="905"/>
      <c r="L13" s="906"/>
      <c r="M13" s="911"/>
      <c r="N13" s="912"/>
    </row>
    <row r="14" spans="1:21" ht="13" x14ac:dyDescent="0.3">
      <c r="A14" s="472"/>
      <c r="B14" s="32" t="s">
        <v>296</v>
      </c>
      <c r="C14" s="16"/>
      <c r="D14" s="17"/>
      <c r="E14" s="212">
        <v>2.1</v>
      </c>
      <c r="F14" s="676">
        <f>+E14*F2+E14</f>
        <v>2.2197</v>
      </c>
      <c r="G14" s="55"/>
      <c r="H14" s="473"/>
      <c r="J14" s="927"/>
      <c r="K14" s="907"/>
      <c r="L14" s="908"/>
      <c r="M14" s="913"/>
      <c r="N14" s="914"/>
    </row>
    <row r="15" spans="1:21" ht="13.25" customHeight="1" x14ac:dyDescent="0.3">
      <c r="A15" s="471"/>
      <c r="B15" s="16"/>
      <c r="C15" s="16"/>
      <c r="D15" s="16"/>
      <c r="E15" s="25"/>
      <c r="F15" s="67"/>
      <c r="H15" s="473"/>
      <c r="J15" s="920" t="s">
        <v>362</v>
      </c>
      <c r="K15" s="909"/>
      <c r="L15" s="909"/>
      <c r="M15" s="909"/>
      <c r="N15" s="910"/>
    </row>
    <row r="16" spans="1:21" ht="13.5" customHeight="1" x14ac:dyDescent="0.3">
      <c r="A16" s="472"/>
      <c r="B16" s="917" t="s">
        <v>2</v>
      </c>
      <c r="C16" s="918"/>
      <c r="D16" s="918"/>
      <c r="E16" s="918"/>
      <c r="F16" s="919"/>
      <c r="H16" s="473"/>
      <c r="J16" s="921"/>
      <c r="K16" s="911"/>
      <c r="L16" s="911"/>
      <c r="M16" s="911"/>
      <c r="N16" s="912"/>
    </row>
    <row r="17" spans="1:14" ht="13.5" x14ac:dyDescent="0.35">
      <c r="A17" s="472"/>
      <c r="B17" s="22"/>
      <c r="C17" s="22"/>
      <c r="D17" s="22"/>
      <c r="E17" s="26"/>
      <c r="F17" s="57"/>
      <c r="H17" s="473"/>
      <c r="J17" s="921"/>
      <c r="K17" s="911"/>
      <c r="L17" s="911"/>
      <c r="M17" s="911"/>
      <c r="N17" s="912"/>
    </row>
    <row r="18" spans="1:14" ht="39" thickBot="1" x14ac:dyDescent="0.4">
      <c r="A18" s="472" t="s">
        <v>1</v>
      </c>
      <c r="B18" s="13" t="s">
        <v>39</v>
      </c>
      <c r="C18" s="13"/>
      <c r="D18" s="14"/>
      <c r="E18" s="15" t="str">
        <f>+E11</f>
        <v>2025/2026</v>
      </c>
      <c r="F18" s="68" t="str">
        <f>F$11</f>
        <v>2026/2027</v>
      </c>
      <c r="G18" s="631" t="s">
        <v>787</v>
      </c>
      <c r="H18" s="474" t="s">
        <v>347</v>
      </c>
      <c r="J18" s="922"/>
      <c r="K18" s="923"/>
      <c r="L18" s="923"/>
      <c r="M18" s="923"/>
      <c r="N18" s="924"/>
    </row>
    <row r="19" spans="1:14" ht="29" customHeight="1" x14ac:dyDescent="0.3">
      <c r="A19" s="472"/>
      <c r="B19" s="16"/>
      <c r="C19" s="4" t="s">
        <v>87</v>
      </c>
      <c r="D19" s="4"/>
      <c r="E19" s="928" t="s">
        <v>619</v>
      </c>
      <c r="F19" s="928" t="s">
        <v>455</v>
      </c>
      <c r="G19" s="357"/>
      <c r="H19" s="473"/>
    </row>
    <row r="20" spans="1:14" ht="14" customHeight="1" x14ac:dyDescent="0.3">
      <c r="A20" s="472"/>
      <c r="B20" s="20" t="s">
        <v>34</v>
      </c>
      <c r="C20" s="22"/>
      <c r="D20" s="22"/>
      <c r="E20" s="929"/>
      <c r="F20" s="929"/>
      <c r="G20" s="357"/>
      <c r="H20" s="473"/>
      <c r="K20" s="504"/>
    </row>
    <row r="21" spans="1:14" ht="13" x14ac:dyDescent="0.3">
      <c r="A21" s="472">
        <v>1</v>
      </c>
      <c r="B21" s="20" t="s">
        <v>17</v>
      </c>
      <c r="C21" s="20" t="s">
        <v>89</v>
      </c>
      <c r="D21" s="20"/>
      <c r="E21" s="46">
        <v>267.25</v>
      </c>
      <c r="F21" s="46">
        <f>+H21</f>
        <v>282.48325</v>
      </c>
      <c r="G21" s="691">
        <v>250</v>
      </c>
      <c r="H21" s="475">
        <f>+MAX(E21,G21)*(1+(F$2*1))</f>
        <v>282.48325</v>
      </c>
      <c r="K21" s="502"/>
    </row>
    <row r="22" spans="1:14" ht="13" x14ac:dyDescent="0.3">
      <c r="A22" s="472">
        <v>1</v>
      </c>
      <c r="B22" s="20" t="s">
        <v>112</v>
      </c>
      <c r="C22" s="20" t="s">
        <v>173</v>
      </c>
      <c r="D22" s="20">
        <v>50302745</v>
      </c>
      <c r="E22" s="46">
        <v>30.327529999999999</v>
      </c>
      <c r="F22" s="46">
        <f>+H22</f>
        <v>32.056199209999996</v>
      </c>
      <c r="G22" s="695">
        <v>8.4</v>
      </c>
      <c r="H22" s="475">
        <f t="shared" ref="H22:H73" si="1">+MAX(E22,G22)*(1+(F$2*1))</f>
        <v>32.056199209999996</v>
      </c>
    </row>
    <row r="23" spans="1:14" s="151" customFormat="1" ht="13" x14ac:dyDescent="0.3">
      <c r="A23" s="885">
        <v>1</v>
      </c>
      <c r="B23" s="886" t="s">
        <v>113</v>
      </c>
      <c r="C23" s="886" t="s">
        <v>173</v>
      </c>
      <c r="D23" s="886">
        <v>50200845</v>
      </c>
      <c r="E23" s="887">
        <v>30.455809999999996</v>
      </c>
      <c r="F23" s="887">
        <f t="shared" ref="F23:F73" si="2">+H23</f>
        <v>32.191791169999995</v>
      </c>
      <c r="G23" s="695">
        <v>28.49</v>
      </c>
      <c r="H23" s="888">
        <f t="shared" si="1"/>
        <v>32.191791169999995</v>
      </c>
    </row>
    <row r="24" spans="1:14" ht="13" x14ac:dyDescent="0.3">
      <c r="A24" s="472">
        <v>1</v>
      </c>
      <c r="B24" s="20" t="s">
        <v>23</v>
      </c>
      <c r="C24" s="20" t="s">
        <v>173</v>
      </c>
      <c r="D24" s="20">
        <v>80200325</v>
      </c>
      <c r="E24" s="46">
        <v>583.67399999999998</v>
      </c>
      <c r="F24" s="46">
        <f t="shared" si="2"/>
        <v>616.94341799999995</v>
      </c>
      <c r="G24" s="691">
        <v>546</v>
      </c>
      <c r="H24" s="475">
        <f t="shared" si="1"/>
        <v>616.94341799999995</v>
      </c>
    </row>
    <row r="25" spans="1:14" ht="13" x14ac:dyDescent="0.3">
      <c r="A25" s="472">
        <v>1</v>
      </c>
      <c r="B25" s="20" t="s">
        <v>10</v>
      </c>
      <c r="C25" s="20" t="s">
        <v>190</v>
      </c>
      <c r="D25" s="20">
        <v>81600717</v>
      </c>
      <c r="E25" s="46">
        <v>2121.3236000000002</v>
      </c>
      <c r="F25" s="46">
        <f t="shared" si="2"/>
        <v>2242.2390452</v>
      </c>
      <c r="G25" s="691">
        <v>1329.98</v>
      </c>
      <c r="H25" s="475">
        <f t="shared" si="1"/>
        <v>2242.2390452</v>
      </c>
    </row>
    <row r="26" spans="1:14" ht="13" x14ac:dyDescent="0.3">
      <c r="A26" s="472">
        <v>1</v>
      </c>
      <c r="B26" s="20" t="s">
        <v>96</v>
      </c>
      <c r="C26" s="20" t="s">
        <v>158</v>
      </c>
      <c r="D26" s="20">
        <v>80200875</v>
      </c>
      <c r="E26" s="46">
        <v>2033.1097199999999</v>
      </c>
      <c r="F26" s="46">
        <f t="shared" si="2"/>
        <v>2148.9969740399997</v>
      </c>
      <c r="G26" s="691">
        <v>1901.88</v>
      </c>
      <c r="H26" s="475">
        <f t="shared" si="1"/>
        <v>2148.9969740399997</v>
      </c>
    </row>
    <row r="27" spans="1:14" ht="13" x14ac:dyDescent="0.3">
      <c r="A27" s="472">
        <v>1</v>
      </c>
      <c r="B27" s="20" t="s">
        <v>9</v>
      </c>
      <c r="C27" s="20" t="s">
        <v>153</v>
      </c>
      <c r="D27" s="20">
        <v>80200969</v>
      </c>
      <c r="E27" s="46">
        <v>6785.7982000000002</v>
      </c>
      <c r="F27" s="46">
        <f t="shared" si="2"/>
        <v>7172.5886973999995</v>
      </c>
      <c r="G27" s="691">
        <v>6343.8</v>
      </c>
      <c r="H27" s="475">
        <f t="shared" si="1"/>
        <v>7172.5886973999995</v>
      </c>
    </row>
    <row r="28" spans="1:14" s="151" customFormat="1" ht="13" x14ac:dyDescent="0.3">
      <c r="A28" s="885">
        <v>1</v>
      </c>
      <c r="B28" s="886" t="s">
        <v>126</v>
      </c>
      <c r="C28" s="886" t="s">
        <v>156</v>
      </c>
      <c r="D28" s="886">
        <v>80200930</v>
      </c>
      <c r="E28" s="887">
        <v>10059.824499999999</v>
      </c>
      <c r="F28" s="887">
        <f t="shared" si="2"/>
        <v>10633.234496499997</v>
      </c>
      <c r="G28" s="691">
        <v>9410.5</v>
      </c>
      <c r="H28" s="888">
        <f t="shared" si="1"/>
        <v>10633.234496499997</v>
      </c>
    </row>
    <row r="29" spans="1:14" ht="13" x14ac:dyDescent="0.3">
      <c r="A29" s="472">
        <v>1</v>
      </c>
      <c r="B29" s="20" t="s">
        <v>24</v>
      </c>
      <c r="C29" s="20" t="s">
        <v>154</v>
      </c>
      <c r="D29" s="20">
        <v>80200862</v>
      </c>
      <c r="E29" s="46">
        <v>1919.02604</v>
      </c>
      <c r="F29" s="46">
        <f t="shared" si="2"/>
        <v>2028.4105242799999</v>
      </c>
      <c r="G29" s="691">
        <v>1793.04</v>
      </c>
      <c r="H29" s="475">
        <f t="shared" si="1"/>
        <v>2028.4105242799999</v>
      </c>
    </row>
    <row r="30" spans="1:14" ht="13" x14ac:dyDescent="0.3">
      <c r="A30" s="472">
        <v>1</v>
      </c>
      <c r="B30" s="20" t="s">
        <v>25</v>
      </c>
      <c r="C30" s="20" t="s">
        <v>155</v>
      </c>
      <c r="D30" s="20">
        <v>80200875</v>
      </c>
      <c r="E30" s="46">
        <v>2033.1097199999999</v>
      </c>
      <c r="F30" s="46">
        <f t="shared" si="2"/>
        <v>2148.9969740399997</v>
      </c>
      <c r="G30" s="691">
        <v>1901.88</v>
      </c>
      <c r="H30" s="475">
        <f t="shared" si="1"/>
        <v>2148.9969740399997</v>
      </c>
    </row>
    <row r="31" spans="1:14" ht="13" x14ac:dyDescent="0.3">
      <c r="A31" s="472">
        <v>1</v>
      </c>
      <c r="B31" s="20" t="s">
        <v>443</v>
      </c>
      <c r="C31" s="20" t="s">
        <v>444</v>
      </c>
      <c r="D31" s="20">
        <v>51300325</v>
      </c>
      <c r="E31" s="46">
        <v>982.93480999999997</v>
      </c>
      <c r="F31" s="46">
        <f t="shared" si="2"/>
        <v>1038.96209417</v>
      </c>
      <c r="G31" s="691">
        <v>919.49</v>
      </c>
      <c r="H31" s="475">
        <f t="shared" si="1"/>
        <v>1038.96209417</v>
      </c>
    </row>
    <row r="32" spans="1:14" ht="13" x14ac:dyDescent="0.3">
      <c r="A32" s="472">
        <v>1</v>
      </c>
      <c r="B32" s="20" t="s">
        <v>365</v>
      </c>
      <c r="C32" s="20" t="s">
        <v>309</v>
      </c>
      <c r="D32" s="20">
        <v>51300420</v>
      </c>
      <c r="E32" s="46">
        <v>5109.82</v>
      </c>
      <c r="F32" s="46">
        <f t="shared" si="2"/>
        <v>5401.0797399999992</v>
      </c>
      <c r="G32" s="691">
        <v>4780</v>
      </c>
      <c r="H32" s="475">
        <f t="shared" si="1"/>
        <v>5401.0797399999992</v>
      </c>
    </row>
    <row r="33" spans="1:8" s="151" customFormat="1" ht="13" x14ac:dyDescent="0.3">
      <c r="A33" s="889">
        <v>1</v>
      </c>
      <c r="B33" s="890" t="s">
        <v>3</v>
      </c>
      <c r="C33" s="890" t="s">
        <v>149</v>
      </c>
      <c r="D33" s="890" t="s">
        <v>1</v>
      </c>
      <c r="E33" s="891">
        <v>1149.175</v>
      </c>
      <c r="F33" s="891">
        <f t="shared" si="2"/>
        <v>1214.6779749999998</v>
      </c>
      <c r="G33" s="695">
        <v>1075</v>
      </c>
      <c r="H33" s="892">
        <f t="shared" si="1"/>
        <v>1214.6779749999998</v>
      </c>
    </row>
    <row r="34" spans="1:8" ht="13" x14ac:dyDescent="0.3">
      <c r="A34" s="692"/>
      <c r="B34" s="693" t="s">
        <v>621</v>
      </c>
      <c r="C34" s="693"/>
      <c r="D34" s="693">
        <v>51300390</v>
      </c>
      <c r="E34" s="694">
        <v>2026.8239999999998</v>
      </c>
      <c r="F34" s="694">
        <f t="shared" ref="F34" si="3">+H34</f>
        <v>2142.3529679999997</v>
      </c>
      <c r="G34" s="695">
        <v>450</v>
      </c>
      <c r="H34" s="696">
        <f t="shared" si="1"/>
        <v>2142.3529679999997</v>
      </c>
    </row>
    <row r="35" spans="1:8" s="151" customFormat="1" ht="13" x14ac:dyDescent="0.3">
      <c r="A35" s="889">
        <v>1</v>
      </c>
      <c r="B35" s="890" t="s">
        <v>228</v>
      </c>
      <c r="C35" s="890" t="s">
        <v>150</v>
      </c>
      <c r="D35" s="890"/>
      <c r="E35" s="891">
        <v>1149.175</v>
      </c>
      <c r="F35" s="891">
        <f t="shared" si="2"/>
        <v>1214.6779749999998</v>
      </c>
      <c r="G35" s="691">
        <v>1075</v>
      </c>
      <c r="H35" s="892">
        <f t="shared" si="1"/>
        <v>1214.6779749999998</v>
      </c>
    </row>
    <row r="36" spans="1:8" ht="13" x14ac:dyDescent="0.3">
      <c r="A36" s="472">
        <v>1</v>
      </c>
      <c r="B36" s="20" t="s">
        <v>229</v>
      </c>
      <c r="C36" s="20" t="s">
        <v>151</v>
      </c>
      <c r="D36" s="20">
        <v>51300330</v>
      </c>
      <c r="E36" s="46">
        <v>0</v>
      </c>
      <c r="F36" s="46">
        <f>+H36</f>
        <v>0</v>
      </c>
      <c r="G36" s="700" t="s">
        <v>452</v>
      </c>
      <c r="H36" s="696">
        <f>+MAX(E36,G36)*(1+(F$2*1))</f>
        <v>0</v>
      </c>
    </row>
    <row r="37" spans="1:8" ht="13" x14ac:dyDescent="0.3">
      <c r="A37" s="472">
        <v>1</v>
      </c>
      <c r="B37" s="20" t="s">
        <v>469</v>
      </c>
      <c r="C37" s="20" t="s">
        <v>164</v>
      </c>
      <c r="D37" s="20">
        <v>51800107</v>
      </c>
      <c r="E37" s="46">
        <v>0</v>
      </c>
      <c r="F37" s="46">
        <f t="shared" si="2"/>
        <v>0</v>
      </c>
      <c r="G37" s="700" t="s">
        <v>452</v>
      </c>
      <c r="H37" s="696">
        <f t="shared" si="1"/>
        <v>0</v>
      </c>
    </row>
    <row r="38" spans="1:8" ht="13" x14ac:dyDescent="0.3">
      <c r="A38" s="472">
        <v>1</v>
      </c>
      <c r="B38" s="20" t="s">
        <v>476</v>
      </c>
      <c r="C38" s="20" t="s">
        <v>157</v>
      </c>
      <c r="D38" s="20">
        <v>60200891</v>
      </c>
      <c r="E38" s="46">
        <v>1192.4694999999999</v>
      </c>
      <c r="F38" s="46">
        <f t="shared" si="2"/>
        <v>1260.4402614999999</v>
      </c>
      <c r="G38" s="691" t="s">
        <v>452</v>
      </c>
      <c r="H38" s="475">
        <f t="shared" si="1"/>
        <v>1260.4402614999999</v>
      </c>
    </row>
    <row r="39" spans="1:8" ht="13" x14ac:dyDescent="0.3">
      <c r="A39" s="472">
        <v>1</v>
      </c>
      <c r="B39" s="20" t="s">
        <v>470</v>
      </c>
      <c r="C39" s="20" t="s">
        <v>165</v>
      </c>
      <c r="D39" s="20">
        <v>60200562</v>
      </c>
      <c r="E39" s="46">
        <v>451.11799999999999</v>
      </c>
      <c r="F39" s="46">
        <f t="shared" si="2"/>
        <v>476.83172599999995</v>
      </c>
      <c r="G39" s="691">
        <v>422</v>
      </c>
      <c r="H39" s="475">
        <f t="shared" si="1"/>
        <v>476.83172599999995</v>
      </c>
    </row>
    <row r="40" spans="1:8" ht="13" x14ac:dyDescent="0.3">
      <c r="A40" s="472">
        <v>1</v>
      </c>
      <c r="B40" s="20" t="s">
        <v>19</v>
      </c>
      <c r="C40" s="20" t="s">
        <v>159</v>
      </c>
      <c r="D40" s="20">
        <v>40200100</v>
      </c>
      <c r="E40" s="46">
        <v>1191.9349999999999</v>
      </c>
      <c r="F40" s="46">
        <f t="shared" si="2"/>
        <v>1259.8752949999998</v>
      </c>
      <c r="G40" s="691">
        <v>1115</v>
      </c>
      <c r="H40" s="475">
        <f t="shared" si="1"/>
        <v>1259.8752949999998</v>
      </c>
    </row>
    <row r="41" spans="1:8" ht="13" x14ac:dyDescent="0.3">
      <c r="A41" s="472">
        <v>1</v>
      </c>
      <c r="B41" s="20" t="s">
        <v>20</v>
      </c>
      <c r="C41" s="20" t="s">
        <v>160</v>
      </c>
      <c r="D41" s="20">
        <v>50200562</v>
      </c>
      <c r="E41" s="46">
        <v>180.12649999999999</v>
      </c>
      <c r="F41" s="46">
        <f t="shared" si="2"/>
        <v>190.39371049999997</v>
      </c>
      <c r="G41" s="695">
        <v>168.5</v>
      </c>
      <c r="H41" s="475">
        <f t="shared" si="1"/>
        <v>190.39371049999997</v>
      </c>
    </row>
    <row r="42" spans="1:8" ht="13" x14ac:dyDescent="0.3">
      <c r="A42" s="692">
        <v>1</v>
      </c>
      <c r="B42" s="693" t="s">
        <v>6</v>
      </c>
      <c r="C42" s="693" t="s">
        <v>161</v>
      </c>
      <c r="D42" s="693"/>
      <c r="E42" s="694">
        <v>0</v>
      </c>
      <c r="F42" s="694">
        <f t="shared" si="2"/>
        <v>0</v>
      </c>
      <c r="G42" s="691" t="s">
        <v>452</v>
      </c>
      <c r="H42" s="696">
        <f t="shared" si="1"/>
        <v>0</v>
      </c>
    </row>
    <row r="43" spans="1:8" ht="13" x14ac:dyDescent="0.3">
      <c r="A43" s="472">
        <v>1</v>
      </c>
      <c r="B43" s="20" t="s">
        <v>99</v>
      </c>
      <c r="C43" s="20" t="s">
        <v>162</v>
      </c>
      <c r="D43" s="20">
        <v>50201684</v>
      </c>
      <c r="E43" s="46">
        <v>0</v>
      </c>
      <c r="F43" s="46">
        <f t="shared" si="2"/>
        <v>0</v>
      </c>
      <c r="G43" s="691" t="s">
        <v>452</v>
      </c>
      <c r="H43" s="475">
        <f t="shared" si="1"/>
        <v>0</v>
      </c>
    </row>
    <row r="44" spans="1:8" ht="13" x14ac:dyDescent="0.3">
      <c r="A44" s="472">
        <v>1</v>
      </c>
      <c r="B44" s="20" t="s">
        <v>5</v>
      </c>
      <c r="C44" s="20" t="s">
        <v>163</v>
      </c>
      <c r="D44" s="20">
        <v>50201697</v>
      </c>
      <c r="E44" s="46">
        <v>3313.8999999999996</v>
      </c>
      <c r="F44" s="46">
        <f t="shared" si="2"/>
        <v>3502.7922999999996</v>
      </c>
      <c r="G44" s="358">
        <v>3100</v>
      </c>
      <c r="H44" s="475">
        <f t="shared" si="1"/>
        <v>3502.7922999999996</v>
      </c>
    </row>
    <row r="45" spans="1:8" ht="14.5" x14ac:dyDescent="0.35">
      <c r="A45" s="472">
        <v>1</v>
      </c>
      <c r="B45" s="705" t="s">
        <v>475</v>
      </c>
      <c r="C45" s="20" t="s">
        <v>298</v>
      </c>
      <c r="D45" s="20">
        <v>51300335</v>
      </c>
      <c r="E45" s="46">
        <v>5109.82</v>
      </c>
      <c r="F45" s="46">
        <f t="shared" si="2"/>
        <v>5401.0797399999992</v>
      </c>
      <c r="G45" s="358">
        <v>4780</v>
      </c>
      <c r="H45" s="475">
        <f t="shared" si="1"/>
        <v>5401.0797399999992</v>
      </c>
    </row>
    <row r="46" spans="1:8" ht="13" x14ac:dyDescent="0.3">
      <c r="A46" s="472">
        <v>1</v>
      </c>
      <c r="B46" t="s">
        <v>312</v>
      </c>
      <c r="C46" s="20" t="s">
        <v>298</v>
      </c>
      <c r="D46" s="20">
        <v>51300420</v>
      </c>
      <c r="E46" s="46">
        <v>0</v>
      </c>
      <c r="F46" s="46">
        <f t="shared" si="2"/>
        <v>0</v>
      </c>
      <c r="G46" s="358" t="s">
        <v>452</v>
      </c>
      <c r="H46" s="475">
        <f t="shared" si="1"/>
        <v>0</v>
      </c>
    </row>
    <row r="47" spans="1:8" ht="13" x14ac:dyDescent="0.3">
      <c r="A47" s="472">
        <v>1</v>
      </c>
      <c r="B47" s="77" t="s">
        <v>230</v>
      </c>
      <c r="C47" s="77"/>
      <c r="D47" s="77">
        <v>41300100</v>
      </c>
      <c r="E47" s="46">
        <v>319.84479999999996</v>
      </c>
      <c r="F47" s="46">
        <f t="shared" si="2"/>
        <v>338.07595359999993</v>
      </c>
      <c r="G47" s="700">
        <v>299.2</v>
      </c>
      <c r="H47" s="475">
        <f t="shared" si="1"/>
        <v>338.07595359999993</v>
      </c>
    </row>
    <row r="48" spans="1:8" ht="13" x14ac:dyDescent="0.3">
      <c r="A48" s="697">
        <v>1</v>
      </c>
      <c r="B48" s="698" t="s">
        <v>471</v>
      </c>
      <c r="C48" s="698"/>
      <c r="D48" s="698"/>
      <c r="E48" s="699">
        <v>0</v>
      </c>
      <c r="F48" s="699">
        <f t="shared" si="2"/>
        <v>0</v>
      </c>
      <c r="G48" s="839" t="s">
        <v>452</v>
      </c>
      <c r="H48" s="701">
        <f t="shared" si="1"/>
        <v>0</v>
      </c>
    </row>
    <row r="49" spans="1:16" ht="13" x14ac:dyDescent="0.3">
      <c r="A49" s="702">
        <v>1</v>
      </c>
      <c r="B49" s="703" t="s">
        <v>338</v>
      </c>
      <c r="C49" s="703"/>
      <c r="D49" s="703">
        <v>61601224</v>
      </c>
      <c r="E49" s="694">
        <v>28.809549999999998</v>
      </c>
      <c r="F49" s="694">
        <f t="shared" si="2"/>
        <v>30.451694349999997</v>
      </c>
      <c r="G49" s="840">
        <v>26.95</v>
      </c>
      <c r="H49" s="696">
        <f t="shared" si="1"/>
        <v>30.451694349999997</v>
      </c>
    </row>
    <row r="50" spans="1:16" ht="13" x14ac:dyDescent="0.3">
      <c r="A50" s="481">
        <v>1</v>
      </c>
      <c r="B50" s="493" t="s">
        <v>188</v>
      </c>
      <c r="C50" s="493" t="s">
        <v>187</v>
      </c>
      <c r="D50" s="493">
        <v>50700305</v>
      </c>
      <c r="E50" s="46">
        <v>46.234249999999996</v>
      </c>
      <c r="F50" s="46">
        <f t="shared" si="2"/>
        <v>48.869602249999993</v>
      </c>
      <c r="G50" s="358">
        <v>43.25</v>
      </c>
      <c r="H50" s="475">
        <f t="shared" si="1"/>
        <v>48.869602249999993</v>
      </c>
    </row>
    <row r="51" spans="1:16" ht="13" x14ac:dyDescent="0.3">
      <c r="A51" s="472">
        <v>1</v>
      </c>
      <c r="B51" s="20" t="s">
        <v>189</v>
      </c>
      <c r="C51" s="20" t="s">
        <v>191</v>
      </c>
      <c r="D51" s="20">
        <v>50700321</v>
      </c>
      <c r="E51" s="46">
        <v>0</v>
      </c>
      <c r="F51" s="46">
        <f t="shared" si="2"/>
        <v>0</v>
      </c>
      <c r="G51" s="358" t="s">
        <v>452</v>
      </c>
      <c r="H51" s="475">
        <f t="shared" si="1"/>
        <v>0</v>
      </c>
    </row>
    <row r="52" spans="1:16" ht="13" x14ac:dyDescent="0.3">
      <c r="A52" s="472">
        <v>1</v>
      </c>
      <c r="B52" s="20" t="s">
        <v>454</v>
      </c>
      <c r="C52" s="20" t="s">
        <v>184</v>
      </c>
      <c r="D52" s="20">
        <v>51900013</v>
      </c>
      <c r="E52" s="46">
        <v>299.30930999999998</v>
      </c>
      <c r="F52" s="46">
        <f t="shared" si="2"/>
        <v>316.36994066999995</v>
      </c>
      <c r="G52" s="358">
        <v>279.99</v>
      </c>
      <c r="H52" s="475">
        <f t="shared" si="1"/>
        <v>316.36994066999995</v>
      </c>
    </row>
    <row r="53" spans="1:16" ht="13" x14ac:dyDescent="0.3">
      <c r="A53" s="472">
        <v>1</v>
      </c>
      <c r="B53" s="20" t="s">
        <v>453</v>
      </c>
      <c r="C53" s="20" t="s">
        <v>185</v>
      </c>
      <c r="D53" s="38">
        <v>71901303</v>
      </c>
      <c r="E53" s="46">
        <v>33.513150000000003</v>
      </c>
      <c r="F53" s="46">
        <f t="shared" si="2"/>
        <v>35.423399549999999</v>
      </c>
      <c r="G53" s="358">
        <v>31.35</v>
      </c>
      <c r="H53" s="475">
        <f t="shared" si="1"/>
        <v>35.423399549999999</v>
      </c>
    </row>
    <row r="54" spans="1:16" ht="13" x14ac:dyDescent="0.3">
      <c r="A54" s="472">
        <v>1</v>
      </c>
      <c r="B54" s="20" t="s">
        <v>14</v>
      </c>
      <c r="C54" s="20" t="s">
        <v>178</v>
      </c>
      <c r="D54" s="20">
        <v>80300869</v>
      </c>
      <c r="E54" s="46">
        <v>70.37227</v>
      </c>
      <c r="F54" s="46">
        <f t="shared" si="2"/>
        <v>74.383489389999994</v>
      </c>
      <c r="G54" s="358">
        <v>65.83</v>
      </c>
      <c r="H54" s="475">
        <f t="shared" si="1"/>
        <v>74.383489389999994</v>
      </c>
    </row>
    <row r="55" spans="1:16" ht="13" x14ac:dyDescent="0.3">
      <c r="A55" s="472">
        <v>1</v>
      </c>
      <c r="B55" s="20" t="s">
        <v>12</v>
      </c>
      <c r="C55" s="20" t="s">
        <v>179</v>
      </c>
      <c r="D55" s="20">
        <v>80300885</v>
      </c>
      <c r="E55" s="46">
        <v>127.07203</v>
      </c>
      <c r="F55" s="46">
        <f t="shared" si="2"/>
        <v>134.31513570999999</v>
      </c>
      <c r="G55" s="358">
        <v>118.87</v>
      </c>
      <c r="H55" s="475">
        <f t="shared" si="1"/>
        <v>134.31513570999999</v>
      </c>
    </row>
    <row r="56" spans="1:16" ht="13" x14ac:dyDescent="0.3">
      <c r="A56" s="472">
        <v>1</v>
      </c>
      <c r="B56" s="20" t="s">
        <v>11</v>
      </c>
      <c r="C56" s="20" t="s">
        <v>180</v>
      </c>
      <c r="D56" s="20">
        <v>80300872</v>
      </c>
      <c r="E56" s="46">
        <v>392.53679999999997</v>
      </c>
      <c r="F56" s="46">
        <f t="shared" si="2"/>
        <v>414.91139759999993</v>
      </c>
      <c r="G56" s="358">
        <v>367.2</v>
      </c>
      <c r="H56" s="475">
        <f t="shared" si="1"/>
        <v>414.91139759999993</v>
      </c>
    </row>
    <row r="57" spans="1:16" ht="13" x14ac:dyDescent="0.3">
      <c r="A57" s="472">
        <v>1</v>
      </c>
      <c r="B57" s="20" t="s">
        <v>111</v>
      </c>
      <c r="C57" s="20" t="s">
        <v>186</v>
      </c>
      <c r="D57" s="20">
        <v>81600526</v>
      </c>
      <c r="E57" s="46">
        <v>1304.41518</v>
      </c>
      <c r="F57" s="46">
        <f t="shared" si="2"/>
        <v>1378.7668452599999</v>
      </c>
      <c r="G57" s="358">
        <v>1220.22</v>
      </c>
      <c r="H57" s="475">
        <f t="shared" si="1"/>
        <v>1378.7668452599999</v>
      </c>
    </row>
    <row r="58" spans="1:16" ht="13" x14ac:dyDescent="0.3">
      <c r="A58" s="472">
        <v>1</v>
      </c>
      <c r="B58" s="20" t="s">
        <v>13</v>
      </c>
      <c r="C58" s="20" t="s">
        <v>181</v>
      </c>
      <c r="D58" s="20">
        <v>51100140</v>
      </c>
      <c r="E58" s="46">
        <v>0</v>
      </c>
      <c r="F58" s="46">
        <f t="shared" si="2"/>
        <v>0</v>
      </c>
      <c r="G58" s="358" t="s">
        <v>452</v>
      </c>
      <c r="H58" s="475">
        <f t="shared" si="1"/>
        <v>0</v>
      </c>
    </row>
    <row r="59" spans="1:16" ht="13" x14ac:dyDescent="0.3">
      <c r="A59" s="472">
        <v>1</v>
      </c>
      <c r="B59" s="20" t="s">
        <v>183</v>
      </c>
      <c r="C59" s="20" t="s">
        <v>182</v>
      </c>
      <c r="D59" s="20">
        <v>50201367</v>
      </c>
      <c r="E59" s="46">
        <v>526.58939999999996</v>
      </c>
      <c r="F59" s="46">
        <f t="shared" si="2"/>
        <v>556.60499579999987</v>
      </c>
      <c r="G59" s="695">
        <v>492.6</v>
      </c>
      <c r="H59" s="475">
        <f t="shared" si="1"/>
        <v>556.60499579999987</v>
      </c>
      <c r="J59" s="2"/>
    </row>
    <row r="60" spans="1:16" ht="13" x14ac:dyDescent="0.3">
      <c r="A60" s="692">
        <v>1</v>
      </c>
      <c r="B60" s="693" t="s">
        <v>7</v>
      </c>
      <c r="C60" s="693" t="s">
        <v>174</v>
      </c>
      <c r="D60" s="693"/>
      <c r="E60" s="694">
        <v>616.7274799999999</v>
      </c>
      <c r="F60" s="694">
        <f t="shared" si="2"/>
        <v>651.88094635999983</v>
      </c>
      <c r="G60" s="695">
        <v>576.91999999999996</v>
      </c>
      <c r="H60" s="696">
        <f t="shared" si="1"/>
        <v>651.88094635999983</v>
      </c>
    </row>
    <row r="61" spans="1:16" ht="13" x14ac:dyDescent="0.3">
      <c r="A61" s="692">
        <v>1</v>
      </c>
      <c r="B61" s="693" t="s">
        <v>93</v>
      </c>
      <c r="C61" s="693" t="s">
        <v>175</v>
      </c>
      <c r="D61" s="693">
        <v>50201396</v>
      </c>
      <c r="E61" s="694">
        <v>459.50965000000002</v>
      </c>
      <c r="F61" s="694">
        <f t="shared" si="2"/>
        <v>485.70170005</v>
      </c>
      <c r="G61" s="358">
        <v>429.85</v>
      </c>
      <c r="H61" s="696">
        <f t="shared" si="1"/>
        <v>485.70170005</v>
      </c>
      <c r="L61" s="187"/>
      <c r="M61" s="187"/>
      <c r="N61" s="187"/>
      <c r="O61" s="151"/>
      <c r="P61" s="2"/>
    </row>
    <row r="62" spans="1:16" ht="13" x14ac:dyDescent="0.3">
      <c r="A62" s="472">
        <v>1</v>
      </c>
      <c r="B62" s="20" t="s">
        <v>90</v>
      </c>
      <c r="C62" s="20" t="s">
        <v>166</v>
      </c>
      <c r="D62" s="38">
        <v>81601211</v>
      </c>
      <c r="E62" s="46">
        <v>0</v>
      </c>
      <c r="F62" s="46">
        <f t="shared" si="2"/>
        <v>0</v>
      </c>
      <c r="G62" s="358" t="s">
        <v>452</v>
      </c>
      <c r="H62" s="475">
        <f t="shared" si="1"/>
        <v>0</v>
      </c>
      <c r="L62" s="187"/>
      <c r="M62" s="187"/>
      <c r="N62" s="187"/>
      <c r="O62" s="151"/>
      <c r="P62" s="2"/>
    </row>
    <row r="63" spans="1:16" ht="13" x14ac:dyDescent="0.3">
      <c r="A63" s="472">
        <v>1</v>
      </c>
      <c r="B63" s="20" t="s">
        <v>21</v>
      </c>
      <c r="C63" s="20" t="s">
        <v>170</v>
      </c>
      <c r="D63" s="20">
        <v>81601224</v>
      </c>
      <c r="E63" s="46">
        <v>0</v>
      </c>
      <c r="F63" s="46">
        <f t="shared" si="2"/>
        <v>0</v>
      </c>
      <c r="G63" s="358" t="s">
        <v>452</v>
      </c>
      <c r="H63" s="475">
        <f t="shared" si="1"/>
        <v>0</v>
      </c>
      <c r="L63" s="187"/>
      <c r="M63" s="187"/>
      <c r="N63" s="187"/>
      <c r="O63" s="151"/>
    </row>
    <row r="64" spans="1:16" ht="13" x14ac:dyDescent="0.3">
      <c r="A64" s="472">
        <v>1</v>
      </c>
      <c r="B64" s="20" t="s">
        <v>18</v>
      </c>
      <c r="C64" s="20" t="s">
        <v>168</v>
      </c>
      <c r="D64" s="20">
        <v>52300554</v>
      </c>
      <c r="E64" s="46">
        <v>2345.9204999999997</v>
      </c>
      <c r="F64" s="46">
        <f t="shared" si="2"/>
        <v>2479.6379684999997</v>
      </c>
      <c r="G64" s="358">
        <v>2194.5</v>
      </c>
      <c r="H64" s="475">
        <f t="shared" si="1"/>
        <v>2479.6379684999997</v>
      </c>
      <c r="L64" s="187"/>
      <c r="M64" s="187"/>
      <c r="N64" s="187"/>
      <c r="O64" s="151"/>
    </row>
    <row r="65" spans="1:19" ht="13" x14ac:dyDescent="0.3">
      <c r="A65" s="472">
        <v>1</v>
      </c>
      <c r="B65" s="20" t="s">
        <v>4</v>
      </c>
      <c r="C65" s="20" t="s">
        <v>152</v>
      </c>
      <c r="D65" s="20">
        <v>52300380</v>
      </c>
      <c r="E65" s="46">
        <v>20.311</v>
      </c>
      <c r="F65" s="46">
        <f t="shared" si="2"/>
        <v>21.468726999999998</v>
      </c>
      <c r="G65" s="358">
        <v>19</v>
      </c>
      <c r="H65" s="475">
        <f t="shared" si="1"/>
        <v>21.468726999999998</v>
      </c>
      <c r="L65" s="187"/>
      <c r="M65" s="187"/>
      <c r="N65" s="187"/>
      <c r="O65" s="151"/>
    </row>
    <row r="66" spans="1:19" ht="13" x14ac:dyDescent="0.3">
      <c r="A66" s="472">
        <v>1</v>
      </c>
      <c r="B66" s="20" t="s">
        <v>145</v>
      </c>
      <c r="C66" s="20" t="s">
        <v>172</v>
      </c>
      <c r="D66" s="20">
        <v>51400280</v>
      </c>
      <c r="E66" s="46">
        <v>13.041799999999999</v>
      </c>
      <c r="F66" s="46">
        <f t="shared" si="2"/>
        <v>13.785182599999997</v>
      </c>
      <c r="G66" s="358">
        <v>12.2</v>
      </c>
      <c r="H66" s="475">
        <f t="shared" si="1"/>
        <v>13.785182599999997</v>
      </c>
      <c r="L66" s="187"/>
      <c r="M66" s="187"/>
      <c r="N66" s="187"/>
      <c r="O66" s="151"/>
    </row>
    <row r="67" spans="1:19" ht="13" x14ac:dyDescent="0.3">
      <c r="A67" s="472">
        <v>1</v>
      </c>
      <c r="B67" s="20" t="s">
        <v>8</v>
      </c>
      <c r="C67" s="20" t="s">
        <v>176</v>
      </c>
      <c r="D67" s="20">
        <v>50300514</v>
      </c>
      <c r="E67" s="46">
        <v>103.3723</v>
      </c>
      <c r="F67" s="46">
        <f t="shared" si="2"/>
        <v>109.2645211</v>
      </c>
      <c r="G67" s="358">
        <v>96.7</v>
      </c>
      <c r="H67" s="475">
        <f t="shared" si="1"/>
        <v>109.2645211</v>
      </c>
      <c r="L67" s="187"/>
      <c r="M67" s="187"/>
      <c r="N67" s="187"/>
      <c r="O67" s="151"/>
    </row>
    <row r="68" spans="1:19" ht="13" x14ac:dyDescent="0.3">
      <c r="A68" s="472">
        <v>1</v>
      </c>
      <c r="B68" s="20" t="s">
        <v>15</v>
      </c>
      <c r="C68" s="20" t="s">
        <v>167</v>
      </c>
      <c r="D68" s="38">
        <v>80300623</v>
      </c>
      <c r="E68" s="46">
        <v>9.3751299999999986</v>
      </c>
      <c r="F68" s="46">
        <f t="shared" si="2"/>
        <v>9.9095124099999978</v>
      </c>
      <c r="G68" s="358">
        <v>8.77</v>
      </c>
      <c r="H68" s="475">
        <f t="shared" si="1"/>
        <v>9.9095124099999978</v>
      </c>
    </row>
    <row r="69" spans="1:19" ht="13" x14ac:dyDescent="0.3">
      <c r="A69" s="472">
        <v>1</v>
      </c>
      <c r="B69" s="20" t="s">
        <v>16</v>
      </c>
      <c r="C69" s="20" t="s">
        <v>169</v>
      </c>
      <c r="D69" s="20">
        <v>50300695</v>
      </c>
      <c r="E69" s="46">
        <v>15.34015</v>
      </c>
      <c r="F69" s="46">
        <f t="shared" si="2"/>
        <v>16.21453855</v>
      </c>
      <c r="G69" s="358">
        <v>14.35</v>
      </c>
      <c r="H69" s="475">
        <f t="shared" si="1"/>
        <v>16.21453855</v>
      </c>
    </row>
    <row r="70" spans="1:19" ht="13" x14ac:dyDescent="0.3">
      <c r="A70" s="472">
        <v>1</v>
      </c>
      <c r="B70" s="20" t="s">
        <v>22</v>
      </c>
      <c r="C70" s="20" t="s">
        <v>171</v>
      </c>
      <c r="D70" s="20">
        <v>50300640</v>
      </c>
      <c r="E70" s="46">
        <v>16.035</v>
      </c>
      <c r="F70" s="46">
        <f t="shared" si="2"/>
        <v>16.948995</v>
      </c>
      <c r="G70" s="358">
        <v>15</v>
      </c>
      <c r="H70" s="475">
        <f t="shared" si="1"/>
        <v>16.948995</v>
      </c>
    </row>
    <row r="71" spans="1:19" ht="13" x14ac:dyDescent="0.3">
      <c r="A71" s="472">
        <v>1</v>
      </c>
      <c r="B71" s="20" t="s">
        <v>144</v>
      </c>
      <c r="C71" s="20" t="s">
        <v>177</v>
      </c>
      <c r="D71">
        <v>80302184</v>
      </c>
      <c r="E71" s="46">
        <v>0</v>
      </c>
      <c r="F71" s="46">
        <f t="shared" si="2"/>
        <v>0</v>
      </c>
      <c r="G71" s="358" t="s">
        <v>452</v>
      </c>
      <c r="H71" s="475">
        <f t="shared" si="1"/>
        <v>0</v>
      </c>
    </row>
    <row r="72" spans="1:19" ht="13" x14ac:dyDescent="0.3">
      <c r="A72" s="472">
        <v>1</v>
      </c>
      <c r="B72" s="20" t="s">
        <v>143</v>
      </c>
      <c r="C72" s="20" t="s">
        <v>88</v>
      </c>
      <c r="D72" s="20">
        <v>50300750</v>
      </c>
      <c r="E72" s="46">
        <v>1346.4910200000002</v>
      </c>
      <c r="F72" s="46">
        <f t="shared" si="2"/>
        <v>1423.2410081400001</v>
      </c>
      <c r="G72" s="691">
        <f>294.47+393.67+13.29+7.95+535+15.2</f>
        <v>1259.5800000000002</v>
      </c>
      <c r="H72" s="475">
        <f t="shared" si="1"/>
        <v>1423.2410081400001</v>
      </c>
    </row>
    <row r="73" spans="1:19" ht="13" x14ac:dyDescent="0.3">
      <c r="A73" s="476">
        <v>1</v>
      </c>
      <c r="B73" s="704" t="s">
        <v>472</v>
      </c>
      <c r="C73" s="216" t="s">
        <v>88</v>
      </c>
      <c r="D73" s="704" t="s">
        <v>581</v>
      </c>
      <c r="E73" s="46">
        <v>1594.22108</v>
      </c>
      <c r="F73" s="46">
        <f t="shared" si="2"/>
        <v>1685.0916815599999</v>
      </c>
      <c r="G73" s="747">
        <f>294.47+393.67+15.2+629.19+150.85+7.94</f>
        <v>1491.3200000000002</v>
      </c>
      <c r="H73" s="475">
        <f t="shared" si="1"/>
        <v>1685.0916815599999</v>
      </c>
    </row>
    <row r="74" spans="1:19" ht="13" thickBot="1" x14ac:dyDescent="0.3">
      <c r="A74" s="476"/>
      <c r="B74" s="44"/>
      <c r="C74" s="44"/>
      <c r="D74" s="44"/>
      <c r="E74" s="44"/>
      <c r="F74" s="60"/>
      <c r="G74" s="600"/>
      <c r="H74" s="477"/>
    </row>
    <row r="75" spans="1:19" ht="39" x14ac:dyDescent="0.3">
      <c r="A75" s="476"/>
      <c r="B75" s="44"/>
      <c r="C75" s="44"/>
      <c r="D75" s="44"/>
      <c r="E75" s="44"/>
      <c r="F75" s="45"/>
      <c r="H75" s="477"/>
      <c r="J75" s="175" t="s">
        <v>736</v>
      </c>
      <c r="K75" s="176"/>
      <c r="L75" s="176"/>
      <c r="M75" s="176"/>
      <c r="N75" s="176"/>
      <c r="O75" s="176"/>
      <c r="P75" s="721" t="s">
        <v>299</v>
      </c>
      <c r="Q75" s="738" t="s">
        <v>572</v>
      </c>
      <c r="R75" s="736" t="s">
        <v>564</v>
      </c>
      <c r="S75" s="730" t="s">
        <v>564</v>
      </c>
    </row>
    <row r="76" spans="1:19" ht="14.5" thickBot="1" x14ac:dyDescent="0.35">
      <c r="A76" s="478"/>
      <c r="B76" s="28"/>
      <c r="C76" s="28"/>
      <c r="D76" s="28"/>
      <c r="E76" s="6"/>
      <c r="F76" s="69"/>
      <c r="H76" s="466"/>
      <c r="J76" s="915" t="s">
        <v>617</v>
      </c>
      <c r="K76" s="916"/>
      <c r="L76" s="916"/>
      <c r="M76" s="916"/>
      <c r="N76" s="177"/>
      <c r="O76" s="177" t="s">
        <v>451</v>
      </c>
      <c r="P76" s="722" t="s">
        <v>578</v>
      </c>
      <c r="Q76" s="739"/>
      <c r="R76" s="731" t="s">
        <v>578</v>
      </c>
      <c r="S76" s="204" t="s">
        <v>579</v>
      </c>
    </row>
    <row r="77" spans="1:19" ht="14.5" thickTop="1" x14ac:dyDescent="0.3">
      <c r="A77" s="479"/>
      <c r="B77" s="29"/>
      <c r="C77" s="29"/>
      <c r="D77" s="29"/>
      <c r="E77" s="7"/>
      <c r="F77" s="70"/>
      <c r="H77" s="480"/>
      <c r="J77" s="712"/>
      <c r="K77" s="178"/>
      <c r="L77" s="178"/>
      <c r="M77" s="178"/>
      <c r="N77" s="179" t="s">
        <v>300</v>
      </c>
      <c r="O77" s="179" t="s">
        <v>301</v>
      </c>
      <c r="P77" s="723">
        <v>7.1999999999999995E-2</v>
      </c>
      <c r="Q77" s="740"/>
      <c r="R77" s="732"/>
      <c r="S77" s="727"/>
    </row>
    <row r="78" spans="1:19" ht="13.5" customHeight="1" x14ac:dyDescent="0.3">
      <c r="A78" s="481"/>
      <c r="B78" s="917" t="s">
        <v>26</v>
      </c>
      <c r="C78" s="918"/>
      <c r="D78" s="918"/>
      <c r="E78" s="918"/>
      <c r="F78" s="919"/>
      <c r="H78" s="466"/>
      <c r="J78" s="205" t="s">
        <v>208</v>
      </c>
      <c r="K78" s="178" t="s">
        <v>209</v>
      </c>
      <c r="L78" s="178" t="s">
        <v>302</v>
      </c>
      <c r="M78" s="178" t="s">
        <v>210</v>
      </c>
      <c r="N78" s="180" t="s">
        <v>303</v>
      </c>
      <c r="O78" s="180"/>
      <c r="P78" s="724" t="s">
        <v>211</v>
      </c>
      <c r="Q78" s="741"/>
      <c r="R78" s="733"/>
      <c r="S78" s="206" t="s">
        <v>565</v>
      </c>
    </row>
    <row r="79" spans="1:19" ht="14" x14ac:dyDescent="0.3">
      <c r="A79" s="472"/>
      <c r="B79" s="20"/>
      <c r="C79" s="20"/>
      <c r="D79" s="20"/>
      <c r="E79" s="27"/>
      <c r="F79" s="56"/>
      <c r="H79" s="466"/>
      <c r="J79" s="207" t="s">
        <v>212</v>
      </c>
      <c r="K79" s="181" t="s">
        <v>213</v>
      </c>
      <c r="L79" s="650">
        <v>179112</v>
      </c>
      <c r="M79" s="651">
        <f>L79*45%</f>
        <v>80600.400000000009</v>
      </c>
      <c r="N79" s="182">
        <f>SUM(L79:M79)</f>
        <v>259712.40000000002</v>
      </c>
      <c r="O79" s="183">
        <f>+N79/(52*40)</f>
        <v>124.86173076923077</v>
      </c>
      <c r="P79" s="725">
        <f>+O79*(1+P$77)</f>
        <v>133.85177538461539</v>
      </c>
      <c r="Q79" s="742" t="s">
        <v>574</v>
      </c>
      <c r="R79" s="737">
        <f>2.4*O79</f>
        <v>299.66815384615387</v>
      </c>
      <c r="S79" s="728">
        <f>P79*2.4</f>
        <v>321.24426092307692</v>
      </c>
    </row>
    <row r="80" spans="1:19" ht="14" x14ac:dyDescent="0.35">
      <c r="A80" s="472" t="s">
        <v>1</v>
      </c>
      <c r="B80" s="13" t="s">
        <v>39</v>
      </c>
      <c r="C80" s="13"/>
      <c r="D80" s="14"/>
      <c r="E80" s="15" t="str">
        <f>E$11</f>
        <v>2025/2026</v>
      </c>
      <c r="F80" s="68" t="str">
        <f>F$11</f>
        <v>2026/2027</v>
      </c>
      <c r="H80" s="466"/>
      <c r="J80" s="207" t="s">
        <v>218</v>
      </c>
      <c r="K80" s="181" t="s">
        <v>554</v>
      </c>
      <c r="L80" s="650">
        <v>187104</v>
      </c>
      <c r="M80" s="651">
        <f>L80*45%</f>
        <v>84196.800000000003</v>
      </c>
      <c r="N80" s="182">
        <f t="shared" ref="N80:N88" si="4">SUM(L80:M80)</f>
        <v>271300.8</v>
      </c>
      <c r="O80" s="183">
        <f t="shared" ref="O80:O88" si="5">+N80/(52*40)</f>
        <v>130.43307692307692</v>
      </c>
      <c r="P80" s="725">
        <f t="shared" ref="P80:P88" si="6">+O80*(1+P$77)</f>
        <v>139.82425846153848</v>
      </c>
      <c r="Q80" s="742" t="s">
        <v>575</v>
      </c>
      <c r="R80" s="734">
        <f>O80*12.25</f>
        <v>1597.8051923076923</v>
      </c>
      <c r="S80" s="728">
        <f>P80*12.25</f>
        <v>1712.8471661538463</v>
      </c>
    </row>
    <row r="81" spans="1:19" ht="14" x14ac:dyDescent="0.35">
      <c r="A81" s="472"/>
      <c r="B81" s="16"/>
      <c r="C81" s="4" t="s">
        <v>37</v>
      </c>
      <c r="D81" s="39" t="s">
        <v>27</v>
      </c>
      <c r="E81" s="40" t="s">
        <v>40</v>
      </c>
      <c r="F81" s="73" t="s">
        <v>446</v>
      </c>
      <c r="H81" s="466"/>
      <c r="J81" s="207" t="s">
        <v>555</v>
      </c>
      <c r="K81" s="181" t="s">
        <v>556</v>
      </c>
      <c r="L81" s="650">
        <v>336723</v>
      </c>
      <c r="M81" s="651">
        <f>L81*45%</f>
        <v>151525.35</v>
      </c>
      <c r="N81" s="182">
        <f>SUM(L81:M81)</f>
        <v>488248.35</v>
      </c>
      <c r="O81" s="183">
        <f>+N81/(52*40)</f>
        <v>234.73478365384614</v>
      </c>
      <c r="P81" s="725">
        <f>+O81*(1+P$77)</f>
        <v>251.63568807692306</v>
      </c>
      <c r="Q81" s="742"/>
      <c r="R81" s="734"/>
      <c r="S81" s="727"/>
    </row>
    <row r="82" spans="1:19" ht="14" x14ac:dyDescent="0.3">
      <c r="A82" s="472"/>
      <c r="B82" s="20"/>
      <c r="C82" s="20"/>
      <c r="D82" s="20"/>
      <c r="E82" s="27"/>
      <c r="F82" s="658"/>
      <c r="G82" s="2"/>
      <c r="H82" s="466"/>
      <c r="J82" s="719" t="s">
        <v>557</v>
      </c>
      <c r="K82" s="181" t="s">
        <v>558</v>
      </c>
      <c r="L82" s="650">
        <v>469944</v>
      </c>
      <c r="M82" s="651">
        <f t="shared" ref="M82:M88" si="7">L82*45%</f>
        <v>211474.80000000002</v>
      </c>
      <c r="N82" s="182">
        <f t="shared" si="4"/>
        <v>681418.8</v>
      </c>
      <c r="O82" s="183">
        <f t="shared" si="5"/>
        <v>327.60519230769233</v>
      </c>
      <c r="P82" s="725">
        <f t="shared" si="6"/>
        <v>351.19276615384621</v>
      </c>
      <c r="Q82" s="742"/>
      <c r="R82" s="734"/>
      <c r="S82" s="727"/>
    </row>
    <row r="83" spans="1:19" ht="14" x14ac:dyDescent="0.3">
      <c r="A83" s="472">
        <v>1</v>
      </c>
      <c r="B83" s="20" t="s">
        <v>553</v>
      </c>
      <c r="C83" s="44" t="s">
        <v>28</v>
      </c>
      <c r="D83" s="44"/>
      <c r="E83" s="23">
        <v>130.97995557692306</v>
      </c>
      <c r="F83" s="116">
        <f>+P79</f>
        <v>133.85177538461539</v>
      </c>
      <c r="G83" s="2"/>
      <c r="H83" s="466"/>
      <c r="J83" s="207" t="s">
        <v>582</v>
      </c>
      <c r="K83" s="181" t="s">
        <v>583</v>
      </c>
      <c r="L83" s="650">
        <v>410568</v>
      </c>
      <c r="M83" s="651">
        <f t="shared" si="7"/>
        <v>184755.6</v>
      </c>
      <c r="N83" s="182">
        <f>SUM(L83:M83)</f>
        <v>595323.6</v>
      </c>
      <c r="O83" s="183">
        <f t="shared" si="5"/>
        <v>286.21326923076924</v>
      </c>
      <c r="P83" s="725">
        <f t="shared" si="6"/>
        <v>306.82062461538465</v>
      </c>
      <c r="Q83" s="742"/>
      <c r="R83" s="734"/>
      <c r="S83" s="727"/>
    </row>
    <row r="84" spans="1:19" ht="14" x14ac:dyDescent="0.3">
      <c r="A84" s="472">
        <v>1</v>
      </c>
      <c r="B84" s="20" t="s">
        <v>552</v>
      </c>
      <c r="C84" s="44" t="s">
        <v>28</v>
      </c>
      <c r="D84" s="44"/>
      <c r="E84" s="23">
        <v>200.30473442307692</v>
      </c>
      <c r="F84" s="116">
        <f>+P86</f>
        <v>204.69654461538465</v>
      </c>
      <c r="H84" s="466"/>
      <c r="J84" s="207" t="s">
        <v>214</v>
      </c>
      <c r="K84" s="181" t="s">
        <v>559</v>
      </c>
      <c r="L84" s="650">
        <v>469944</v>
      </c>
      <c r="M84" s="651">
        <f t="shared" si="7"/>
        <v>211474.80000000002</v>
      </c>
      <c r="N84" s="182">
        <f t="shared" si="4"/>
        <v>681418.8</v>
      </c>
      <c r="O84" s="183">
        <f t="shared" si="5"/>
        <v>327.60519230769233</v>
      </c>
      <c r="P84" s="725">
        <f t="shared" si="6"/>
        <v>351.19276615384621</v>
      </c>
      <c r="Q84" s="742"/>
      <c r="R84" s="734"/>
      <c r="S84" s="727"/>
    </row>
    <row r="85" spans="1:19" ht="14" x14ac:dyDescent="0.3">
      <c r="A85" s="472">
        <v>1</v>
      </c>
      <c r="B85" s="20" t="s">
        <v>54</v>
      </c>
      <c r="C85" s="20" t="s">
        <v>28</v>
      </c>
      <c r="D85" s="38"/>
      <c r="E85" s="23">
        <v>136.82429769230768</v>
      </c>
      <c r="F85" s="116">
        <f>+P80</f>
        <v>139.82425846153848</v>
      </c>
      <c r="H85" s="466"/>
      <c r="J85" s="207" t="s">
        <v>585</v>
      </c>
      <c r="K85" s="181" t="s">
        <v>584</v>
      </c>
      <c r="L85" s="650">
        <v>563832</v>
      </c>
      <c r="M85" s="651">
        <f t="shared" si="7"/>
        <v>253724.4</v>
      </c>
      <c r="N85" s="182">
        <f>SUM(L85:M85)</f>
        <v>817556.4</v>
      </c>
      <c r="O85" s="183">
        <f t="shared" si="5"/>
        <v>393.05596153846153</v>
      </c>
      <c r="P85" s="725">
        <f t="shared" si="6"/>
        <v>421.3559907692308</v>
      </c>
      <c r="Q85" s="742"/>
      <c r="R85" s="734"/>
      <c r="S85" s="727"/>
    </row>
    <row r="86" spans="1:19" ht="14" x14ac:dyDescent="0.3">
      <c r="A86" s="472">
        <v>1</v>
      </c>
      <c r="B86" s="20" t="s">
        <v>55</v>
      </c>
      <c r="C86" s="20" t="s">
        <v>28</v>
      </c>
      <c r="D86" s="38"/>
      <c r="E86" s="23">
        <v>136.82429769230768</v>
      </c>
      <c r="F86" s="116">
        <f>+P80</f>
        <v>139.82425846153848</v>
      </c>
      <c r="H86" s="466"/>
      <c r="J86" s="207" t="s">
        <v>215</v>
      </c>
      <c r="K86" s="181" t="s">
        <v>216</v>
      </c>
      <c r="L86" s="652">
        <v>273912</v>
      </c>
      <c r="M86" s="651">
        <f t="shared" si="7"/>
        <v>123260.40000000001</v>
      </c>
      <c r="N86" s="182">
        <f t="shared" si="4"/>
        <v>397172.4</v>
      </c>
      <c r="O86" s="183">
        <f t="shared" si="5"/>
        <v>190.94826923076926</v>
      </c>
      <c r="P86" s="725">
        <f t="shared" si="6"/>
        <v>204.69654461538465</v>
      </c>
      <c r="Q86" s="742" t="s">
        <v>574</v>
      </c>
      <c r="R86" s="737">
        <f>O86*0.2</f>
        <v>38.189653846153853</v>
      </c>
      <c r="S86" s="728">
        <f>0.2*P86</f>
        <v>40.939308923076936</v>
      </c>
    </row>
    <row r="87" spans="1:19" ht="14" x14ac:dyDescent="0.3">
      <c r="A87" s="472">
        <v>1</v>
      </c>
      <c r="B87" s="20" t="s">
        <v>92</v>
      </c>
      <c r="C87" s="20" t="s">
        <v>28</v>
      </c>
      <c r="D87" s="38"/>
      <c r="E87" s="116">
        <v>343.65784673076922</v>
      </c>
      <c r="F87" s="116">
        <f>+P82</f>
        <v>351.19276615384621</v>
      </c>
      <c r="H87" s="466"/>
      <c r="J87" s="207" t="s">
        <v>477</v>
      </c>
      <c r="K87" s="181" t="s">
        <v>478</v>
      </c>
      <c r="L87" s="652">
        <v>634740</v>
      </c>
      <c r="M87" s="651">
        <f t="shared" si="7"/>
        <v>285633</v>
      </c>
      <c r="N87" s="182">
        <f t="shared" si="4"/>
        <v>920373</v>
      </c>
      <c r="O87" s="183">
        <f t="shared" si="5"/>
        <v>442.48701923076925</v>
      </c>
      <c r="P87" s="725">
        <f t="shared" si="6"/>
        <v>474.34608461538465</v>
      </c>
      <c r="Q87" s="742" t="s">
        <v>575</v>
      </c>
      <c r="R87" s="734">
        <f>O86*2.1</f>
        <v>400.99136538461545</v>
      </c>
      <c r="S87" s="728">
        <f>P86*2.1</f>
        <v>429.86274369230779</v>
      </c>
    </row>
    <row r="88" spans="1:19" ht="14.5" thickBot="1" x14ac:dyDescent="0.35">
      <c r="A88" s="472">
        <v>1</v>
      </c>
      <c r="B88" s="20" t="s">
        <v>551</v>
      </c>
      <c r="C88" s="44" t="s">
        <v>28</v>
      </c>
      <c r="D88" s="44"/>
      <c r="E88" s="116">
        <v>343.65784673076922</v>
      </c>
      <c r="F88" s="116">
        <f>+P82</f>
        <v>351.19276615384621</v>
      </c>
      <c r="H88" s="466"/>
      <c r="J88" s="208" t="s">
        <v>304</v>
      </c>
      <c r="K88" s="209" t="s">
        <v>217</v>
      </c>
      <c r="L88" s="653">
        <v>314820</v>
      </c>
      <c r="M88" s="654">
        <f t="shared" si="7"/>
        <v>141669</v>
      </c>
      <c r="N88" s="720">
        <f t="shared" si="4"/>
        <v>456489</v>
      </c>
      <c r="O88" s="210">
        <f t="shared" si="5"/>
        <v>219.4658653846154</v>
      </c>
      <c r="P88" s="726">
        <f t="shared" si="6"/>
        <v>235.26740769230773</v>
      </c>
      <c r="Q88" s="743"/>
      <c r="R88" s="735"/>
      <c r="S88" s="729"/>
    </row>
    <row r="89" spans="1:19" ht="13" x14ac:dyDescent="0.3">
      <c r="A89" s="472">
        <v>1</v>
      </c>
      <c r="B89" s="20" t="s">
        <v>547</v>
      </c>
      <c r="C89" s="20" t="s">
        <v>28</v>
      </c>
      <c r="D89" s="38" t="s">
        <v>146</v>
      </c>
      <c r="E89" s="23">
        <v>300.2377194230769</v>
      </c>
      <c r="F89" s="116">
        <f>+P83</f>
        <v>306.82062461538465</v>
      </c>
      <c r="H89" s="466"/>
    </row>
    <row r="90" spans="1:19" ht="13" x14ac:dyDescent="0.3">
      <c r="A90" s="472">
        <v>1</v>
      </c>
      <c r="B90" s="20" t="s">
        <v>549</v>
      </c>
      <c r="C90" s="44" t="s">
        <v>28</v>
      </c>
      <c r="D90" s="38" t="s">
        <v>146</v>
      </c>
      <c r="E90" s="23">
        <v>343.65784673076922</v>
      </c>
      <c r="F90" s="116">
        <f>+P84</f>
        <v>351.19276615384621</v>
      </c>
      <c r="H90" s="466"/>
      <c r="J90" s="184" t="s">
        <v>307</v>
      </c>
    </row>
    <row r="91" spans="1:19" ht="13" x14ac:dyDescent="0.3">
      <c r="A91" s="472">
        <v>1</v>
      </c>
      <c r="B91" s="20" t="s">
        <v>548</v>
      </c>
      <c r="C91" s="20" t="s">
        <v>28</v>
      </c>
      <c r="D91" s="38" t="s">
        <v>146</v>
      </c>
      <c r="E91" s="23">
        <v>412.31570365384613</v>
      </c>
      <c r="F91" s="116">
        <f>+P85</f>
        <v>421.3559907692308</v>
      </c>
      <c r="H91" s="466"/>
      <c r="J91" s="184" t="s">
        <v>305</v>
      </c>
    </row>
    <row r="92" spans="1:19" ht="13" x14ac:dyDescent="0.3">
      <c r="A92" s="472">
        <v>1</v>
      </c>
      <c r="B92" s="20" t="s">
        <v>550</v>
      </c>
      <c r="C92" s="20" t="s">
        <v>28</v>
      </c>
      <c r="D92" s="38" t="s">
        <v>146</v>
      </c>
      <c r="E92" s="23">
        <v>464.16888317307689</v>
      </c>
      <c r="F92" s="116">
        <f>+P87</f>
        <v>474.34608461538465</v>
      </c>
      <c r="H92" s="466"/>
      <c r="J92" s="184" t="s">
        <v>306</v>
      </c>
    </row>
    <row r="93" spans="1:19" ht="13" x14ac:dyDescent="0.3">
      <c r="A93" s="472">
        <v>1</v>
      </c>
      <c r="B93" s="20" t="s">
        <v>68</v>
      </c>
      <c r="C93" s="20" t="s">
        <v>28</v>
      </c>
      <c r="D93" s="38" t="s">
        <v>129</v>
      </c>
      <c r="E93" s="23">
        <v>464.16888317307689</v>
      </c>
      <c r="F93" s="116">
        <f>+P87</f>
        <v>474.34608461538465</v>
      </c>
      <c r="H93" s="466"/>
      <c r="J93" s="184"/>
    </row>
    <row r="94" spans="1:19" ht="13" x14ac:dyDescent="0.3">
      <c r="A94" s="472">
        <v>1</v>
      </c>
      <c r="B94" s="20" t="s">
        <v>69</v>
      </c>
      <c r="C94" s="20" t="s">
        <v>28</v>
      </c>
      <c r="D94" s="38" t="s">
        <v>129</v>
      </c>
      <c r="E94" s="23">
        <v>230.21969278846154</v>
      </c>
      <c r="F94" s="116">
        <f>+P88</f>
        <v>235.26740769230773</v>
      </c>
      <c r="H94" s="466"/>
      <c r="J94" s="184"/>
    </row>
    <row r="95" spans="1:19" ht="13" x14ac:dyDescent="0.3">
      <c r="A95" s="472"/>
      <c r="H95" s="466"/>
      <c r="J95" s="184"/>
    </row>
    <row r="96" spans="1:19" ht="13" x14ac:dyDescent="0.3">
      <c r="A96" s="472"/>
      <c r="B96" s="20"/>
      <c r="C96" s="20"/>
      <c r="D96" s="38"/>
      <c r="E96" s="718"/>
      <c r="F96" s="174"/>
      <c r="H96" s="466"/>
      <c r="J96" s="184"/>
    </row>
    <row r="97" spans="1:17" ht="13" x14ac:dyDescent="0.3">
      <c r="A97" s="472"/>
      <c r="B97" s="20"/>
      <c r="C97" s="20"/>
      <c r="D97" s="38"/>
      <c r="E97" s="718"/>
      <c r="F97" s="174"/>
      <c r="H97" s="466"/>
      <c r="J97" s="184"/>
    </row>
    <row r="98" spans="1:17" ht="13" x14ac:dyDescent="0.3">
      <c r="A98" s="472"/>
      <c r="B98" s="20" t="s">
        <v>569</v>
      </c>
      <c r="C98" s="20" t="s">
        <v>570</v>
      </c>
      <c r="D98" s="38" t="s">
        <v>571</v>
      </c>
      <c r="E98" s="718">
        <v>354.41284026923074</v>
      </c>
      <c r="F98" s="174">
        <f>(S79+S86)</f>
        <v>362.18356984615389</v>
      </c>
      <c r="H98" s="466"/>
      <c r="J98" s="184"/>
    </row>
    <row r="99" spans="1:17" ht="13" x14ac:dyDescent="0.3">
      <c r="A99" s="472"/>
      <c r="B99" s="20" t="s">
        <v>573</v>
      </c>
      <c r="C99" s="20" t="s">
        <v>570</v>
      </c>
      <c r="D99" s="38" t="s">
        <v>571</v>
      </c>
      <c r="E99" s="718">
        <v>2096.7375890192307</v>
      </c>
      <c r="F99" s="174">
        <f>+S80+S87</f>
        <v>2142.709909846154</v>
      </c>
      <c r="H99" s="466"/>
      <c r="J99" s="184"/>
    </row>
    <row r="100" spans="1:17" ht="13" x14ac:dyDescent="0.3">
      <c r="A100" s="472"/>
      <c r="B100" s="20"/>
      <c r="C100" s="20"/>
      <c r="D100" s="38"/>
      <c r="E100" s="718"/>
      <c r="F100" s="174"/>
      <c r="H100" s="466"/>
      <c r="J100" s="184"/>
    </row>
    <row r="101" spans="1:17" ht="13" x14ac:dyDescent="0.3">
      <c r="A101" s="472"/>
      <c r="B101" s="20"/>
      <c r="C101" s="20"/>
      <c r="D101" s="38"/>
      <c r="E101" s="718"/>
      <c r="F101" s="174"/>
      <c r="H101" s="466"/>
      <c r="J101" s="184"/>
    </row>
    <row r="102" spans="1:17" ht="13" x14ac:dyDescent="0.3">
      <c r="A102" s="472">
        <v>1</v>
      </c>
      <c r="B102" s="20" t="s">
        <v>566</v>
      </c>
      <c r="C102" s="20" t="s">
        <v>29</v>
      </c>
      <c r="D102" s="38" t="s">
        <v>280</v>
      </c>
      <c r="E102" s="24">
        <v>867.75462328000401</v>
      </c>
      <c r="F102" s="150">
        <f>+K126</f>
        <v>867.75462328000401</v>
      </c>
      <c r="G102" s="358">
        <v>336.76</v>
      </c>
      <c r="H102" s="475">
        <f>+MAX(E102,G102)*(1+(F$2*1))</f>
        <v>917.21663680696417</v>
      </c>
      <c r="J102" s="184"/>
    </row>
    <row r="103" spans="1:17" ht="13" x14ac:dyDescent="0.3">
      <c r="A103" s="472">
        <v>1</v>
      </c>
      <c r="B103" s="20" t="s">
        <v>567</v>
      </c>
      <c r="C103" s="20" t="s">
        <v>29</v>
      </c>
      <c r="D103" s="38" t="s">
        <v>280</v>
      </c>
      <c r="E103" s="24">
        <v>686.0698232800039</v>
      </c>
      <c r="F103" s="150">
        <f>+P126</f>
        <v>686.0698232800039</v>
      </c>
      <c r="G103" s="358">
        <v>856.72</v>
      </c>
      <c r="H103" s="475">
        <f t="shared" ref="H103:H104" si="8">+MAX(E103,G103)*(1+(F$2*1))</f>
        <v>905.55304000000001</v>
      </c>
      <c r="J103" s="184"/>
    </row>
    <row r="104" spans="1:17" ht="13" x14ac:dyDescent="0.3">
      <c r="A104" s="472">
        <v>1</v>
      </c>
      <c r="B104" s="20" t="s">
        <v>568</v>
      </c>
      <c r="C104" s="20" t="s">
        <v>30</v>
      </c>
      <c r="D104" s="38" t="s">
        <v>280</v>
      </c>
      <c r="E104" s="24">
        <v>237.48305360000003</v>
      </c>
      <c r="F104" s="150">
        <f>+E104*(1+F$2)</f>
        <v>251.01958765520001</v>
      </c>
      <c r="G104" s="358">
        <v>1320</v>
      </c>
      <c r="H104" s="475">
        <f t="shared" si="8"/>
        <v>1395.24</v>
      </c>
      <c r="I104" s="2" t="s">
        <v>349</v>
      </c>
      <c r="J104" s="184"/>
    </row>
    <row r="105" spans="1:17" ht="22.5" x14ac:dyDescent="0.3">
      <c r="A105" s="471"/>
      <c r="B105" s="16"/>
      <c r="C105" s="16"/>
      <c r="D105" s="16"/>
      <c r="E105" s="25"/>
      <c r="F105" s="71"/>
      <c r="H105" s="466"/>
      <c r="J105" s="185" t="s">
        <v>308</v>
      </c>
    </row>
    <row r="106" spans="1:17" ht="15" x14ac:dyDescent="0.3">
      <c r="A106" s="472"/>
      <c r="B106" s="917" t="s">
        <v>31</v>
      </c>
      <c r="C106" s="918"/>
      <c r="D106" s="918"/>
      <c r="E106" s="918"/>
      <c r="F106" s="919"/>
      <c r="H106" s="466"/>
    </row>
    <row r="107" spans="1:17" ht="13.5" thickBot="1" x14ac:dyDescent="0.35">
      <c r="A107" s="472"/>
      <c r="B107" s="20"/>
      <c r="C107" s="20"/>
      <c r="D107" s="20"/>
      <c r="E107" s="27"/>
      <c r="F107" s="56"/>
      <c r="H107" s="466"/>
      <c r="J107" s="184" t="s">
        <v>479</v>
      </c>
    </row>
    <row r="108" spans="1:17" ht="13.5" x14ac:dyDescent="0.35">
      <c r="A108" s="472" t="s">
        <v>1</v>
      </c>
      <c r="B108" s="13" t="s">
        <v>39</v>
      </c>
      <c r="C108" s="13"/>
      <c r="D108" s="14"/>
      <c r="E108" s="15" t="str">
        <f>E$11</f>
        <v>2025/2026</v>
      </c>
      <c r="F108" s="68" t="str">
        <f>F$11</f>
        <v>2026/2027</v>
      </c>
      <c r="H108" s="466"/>
      <c r="J108" s="158" t="s">
        <v>281</v>
      </c>
      <c r="K108" s="163">
        <v>180.5</v>
      </c>
      <c r="L108" s="163"/>
      <c r="M108" s="159"/>
      <c r="N108" s="159" t="s">
        <v>282</v>
      </c>
      <c r="O108" s="163"/>
      <c r="P108" s="163">
        <v>180.5</v>
      </c>
      <c r="Q108" s="163"/>
    </row>
    <row r="109" spans="1:17" ht="13.5" x14ac:dyDescent="0.35">
      <c r="A109" s="472"/>
      <c r="B109" s="20"/>
      <c r="C109" s="16"/>
      <c r="D109" s="19" t="s">
        <v>27</v>
      </c>
      <c r="E109" s="18" t="s">
        <v>40</v>
      </c>
      <c r="F109" s="349" t="s">
        <v>352</v>
      </c>
      <c r="H109" s="482"/>
      <c r="J109" s="160" t="s">
        <v>289</v>
      </c>
      <c r="K109" s="164"/>
      <c r="L109" s="164">
        <f>1005.513994</f>
        <v>1005.513994</v>
      </c>
      <c r="N109" t="s">
        <v>289</v>
      </c>
      <c r="O109" s="164"/>
      <c r="P109" s="164"/>
      <c r="Q109" s="164">
        <f>1005.513994</f>
        <v>1005.513994</v>
      </c>
    </row>
    <row r="110" spans="1:17" ht="13" x14ac:dyDescent="0.3">
      <c r="A110" s="472"/>
      <c r="B110" s="20"/>
      <c r="C110" s="20"/>
      <c r="D110" s="38"/>
      <c r="E110" s="630"/>
      <c r="F110" s="156">
        <f>+F2</f>
        <v>5.7000000000000009E-2</v>
      </c>
      <c r="H110" s="466"/>
      <c r="J110" s="160" t="s">
        <v>284</v>
      </c>
      <c r="K110" s="164"/>
      <c r="L110" s="164">
        <v>68.741666666699999</v>
      </c>
      <c r="N110" t="s">
        <v>284</v>
      </c>
      <c r="O110" s="164"/>
      <c r="P110" s="164"/>
      <c r="Q110" s="164">
        <v>68.741666666699999</v>
      </c>
    </row>
    <row r="111" spans="1:17" ht="13" x14ac:dyDescent="0.3">
      <c r="A111" s="472">
        <v>1</v>
      </c>
      <c r="B111" s="20" t="s">
        <v>46</v>
      </c>
      <c r="C111" s="20" t="s">
        <v>32</v>
      </c>
      <c r="D111" s="38">
        <v>2302</v>
      </c>
      <c r="E111" s="78">
        <v>46.625659169499109</v>
      </c>
      <c r="F111" s="157">
        <f>+E111*(1+F$110)</f>
        <v>49.283321742160553</v>
      </c>
      <c r="G111" s="586"/>
      <c r="H111" s="466"/>
      <c r="J111" s="160" t="s">
        <v>283</v>
      </c>
      <c r="K111" s="164">
        <v>154.29</v>
      </c>
      <c r="L111" s="164">
        <v>528.55370000000005</v>
      </c>
      <c r="N111" t="s">
        <v>283</v>
      </c>
      <c r="O111" s="164"/>
      <c r="P111" s="164">
        <v>154.29</v>
      </c>
      <c r="Q111" s="164">
        <v>528.55370000000005</v>
      </c>
    </row>
    <row r="112" spans="1:17" ht="13" x14ac:dyDescent="0.3">
      <c r="A112" s="472">
        <v>1</v>
      </c>
      <c r="B112" s="20" t="s">
        <v>47</v>
      </c>
      <c r="C112" s="20" t="s">
        <v>28</v>
      </c>
      <c r="D112" s="38">
        <v>1302</v>
      </c>
      <c r="E112" s="78">
        <v>226.90929091417144</v>
      </c>
      <c r="F112" s="157">
        <f>+E112*(1+F$110)</f>
        <v>239.8431204962792</v>
      </c>
      <c r="H112" s="466"/>
      <c r="J112" s="160" t="s">
        <v>290</v>
      </c>
      <c r="K112" s="190"/>
      <c r="L112" s="190">
        <v>510.5</v>
      </c>
      <c r="N112" t="s">
        <v>290</v>
      </c>
      <c r="O112" s="164"/>
      <c r="P112" s="190"/>
      <c r="Q112" s="190">
        <v>510.5</v>
      </c>
    </row>
    <row r="113" spans="1:17" ht="13" x14ac:dyDescent="0.3">
      <c r="A113" s="472"/>
      <c r="B113" s="20"/>
      <c r="C113" s="20"/>
      <c r="D113" s="38"/>
      <c r="E113" s="78"/>
      <c r="F113" s="157"/>
      <c r="H113" s="466"/>
      <c r="J113" s="161"/>
      <c r="K113" s="164">
        <f>SUM(K108:K112)</f>
        <v>334.78999999999996</v>
      </c>
      <c r="L113" s="164">
        <f>SUM(L109:L112)</f>
        <v>2113.3093606667003</v>
      </c>
      <c r="M113" s="168" t="s">
        <v>288</v>
      </c>
      <c r="N113" s="168"/>
      <c r="O113" s="164"/>
      <c r="P113" s="164">
        <f>SUM(P108:P112)</f>
        <v>334.78999999999996</v>
      </c>
      <c r="Q113" s="166">
        <f>SUM(Q109:Q112)</f>
        <v>2113.3093606667003</v>
      </c>
    </row>
    <row r="114" spans="1:17" ht="13.5" thickBot="1" x14ac:dyDescent="0.35">
      <c r="A114" s="472"/>
      <c r="B114" s="20"/>
      <c r="C114" s="20"/>
      <c r="D114" s="38"/>
      <c r="E114" s="78"/>
      <c r="F114" s="157"/>
      <c r="H114" s="466"/>
      <c r="J114" s="160"/>
      <c r="K114" s="350">
        <v>100</v>
      </c>
      <c r="L114" s="350">
        <v>12</v>
      </c>
      <c r="M114" t="s">
        <v>288</v>
      </c>
      <c r="O114" s="657"/>
      <c r="P114" s="192">
        <v>88</v>
      </c>
      <c r="Q114" s="655">
        <v>12</v>
      </c>
    </row>
    <row r="115" spans="1:17" ht="13" x14ac:dyDescent="0.3">
      <c r="A115" s="472">
        <v>1</v>
      </c>
      <c r="B115" s="20" t="s">
        <v>48</v>
      </c>
      <c r="C115" s="20" t="s">
        <v>32</v>
      </c>
      <c r="D115" s="38">
        <v>2309</v>
      </c>
      <c r="E115" s="78">
        <v>25.908928484350753</v>
      </c>
      <c r="F115" s="157">
        <f>+E115*(1+F$110)</f>
        <v>27.385737407958743</v>
      </c>
      <c r="H115" s="466"/>
      <c r="J115" s="169" t="s">
        <v>292</v>
      </c>
      <c r="K115" s="170">
        <f>+K114*K113</f>
        <v>33479</v>
      </c>
      <c r="L115" s="170">
        <f>+L113*L114</f>
        <v>25359.712328000402</v>
      </c>
      <c r="M115" s="1"/>
      <c r="N115" s="169" t="s">
        <v>292</v>
      </c>
      <c r="O115" s="170"/>
      <c r="P115" s="170">
        <f>+P114*P113</f>
        <v>29461.519999999997</v>
      </c>
      <c r="Q115" s="171">
        <f>+Q113*Q114</f>
        <v>25359.712328000402</v>
      </c>
    </row>
    <row r="116" spans="1:17" ht="13" x14ac:dyDescent="0.3">
      <c r="A116" s="472">
        <v>1</v>
      </c>
      <c r="B116" s="20" t="s">
        <v>49</v>
      </c>
      <c r="C116" s="20" t="s">
        <v>28</v>
      </c>
      <c r="D116" s="38">
        <v>1309</v>
      </c>
      <c r="E116" s="78">
        <v>226.441217708914</v>
      </c>
      <c r="F116" s="157">
        <f>+E116*(1+F$110)</f>
        <v>239.34836711832207</v>
      </c>
      <c r="H116" s="466"/>
      <c r="J116" s="160"/>
      <c r="K116" s="164"/>
      <c r="L116" s="164"/>
      <c r="O116" s="164"/>
      <c r="P116" s="164"/>
      <c r="Q116" s="166"/>
    </row>
    <row r="117" spans="1:17" ht="13" x14ac:dyDescent="0.3">
      <c r="A117" s="472"/>
      <c r="B117" s="20"/>
      <c r="C117" s="20"/>
      <c r="D117" s="38"/>
      <c r="E117" s="78"/>
      <c r="F117" s="157"/>
      <c r="H117" s="466"/>
      <c r="J117" s="160" t="s">
        <v>285</v>
      </c>
      <c r="K117" s="164">
        <v>157.5</v>
      </c>
      <c r="L117" s="164"/>
      <c r="N117" t="s">
        <v>285</v>
      </c>
      <c r="O117" s="164"/>
      <c r="P117" s="164">
        <v>15.99</v>
      </c>
      <c r="Q117" s="166"/>
    </row>
    <row r="118" spans="1:17" ht="13" x14ac:dyDescent="0.3">
      <c r="A118" s="472">
        <v>1</v>
      </c>
      <c r="B118" s="20" t="s">
        <v>50</v>
      </c>
      <c r="C118" s="20" t="s">
        <v>32</v>
      </c>
      <c r="D118" s="38">
        <v>2309</v>
      </c>
      <c r="E118" s="78">
        <v>27.110824426350753</v>
      </c>
      <c r="F118" s="157">
        <f>+E118*(1+F$110)</f>
        <v>28.656141418652744</v>
      </c>
      <c r="H118" s="466"/>
      <c r="J118" s="160" t="s">
        <v>286</v>
      </c>
      <c r="K118" s="190">
        <v>32.72</v>
      </c>
      <c r="L118" s="164"/>
      <c r="N118" t="s">
        <v>286</v>
      </c>
      <c r="O118" s="164"/>
      <c r="P118" s="190">
        <v>32.72</v>
      </c>
      <c r="Q118" s="166"/>
    </row>
    <row r="119" spans="1:17" ht="13" x14ac:dyDescent="0.3">
      <c r="A119" s="472">
        <v>1</v>
      </c>
      <c r="B119" s="20" t="s">
        <v>51</v>
      </c>
      <c r="C119" s="20" t="s">
        <v>28</v>
      </c>
      <c r="D119" s="38">
        <v>1309</v>
      </c>
      <c r="E119" s="78">
        <v>226.441217708914</v>
      </c>
      <c r="F119" s="157">
        <f>+E119*(1+F$110)</f>
        <v>239.34836711832207</v>
      </c>
      <c r="H119" s="466"/>
      <c r="J119" s="160"/>
      <c r="K119" s="164">
        <f>SUM(K116:K118)</f>
        <v>190.22</v>
      </c>
      <c r="L119" s="165"/>
      <c r="O119" s="164"/>
      <c r="P119" s="164">
        <f>SUM(P116:P118)</f>
        <v>48.71</v>
      </c>
      <c r="Q119" s="167"/>
    </row>
    <row r="120" spans="1:17" ht="13.5" thickBot="1" x14ac:dyDescent="0.35">
      <c r="A120" s="472"/>
      <c r="B120" s="20"/>
      <c r="C120" s="20"/>
      <c r="D120" s="38"/>
      <c r="E120" s="23"/>
      <c r="F120" s="157"/>
      <c r="H120" s="466"/>
      <c r="J120" s="160"/>
      <c r="K120" s="192">
        <v>100</v>
      </c>
      <c r="L120" s="164" t="s">
        <v>288</v>
      </c>
      <c r="O120" s="657"/>
      <c r="P120" s="192">
        <v>100</v>
      </c>
      <c r="Q120" s="166" t="s">
        <v>288</v>
      </c>
    </row>
    <row r="121" spans="1:17" ht="13.5" thickBot="1" x14ac:dyDescent="0.35">
      <c r="A121" s="472"/>
      <c r="B121" s="20"/>
      <c r="C121" s="20"/>
      <c r="D121" s="38"/>
      <c r="E121" s="23"/>
      <c r="F121" s="157"/>
      <c r="H121" s="466"/>
      <c r="J121" s="169" t="s">
        <v>293</v>
      </c>
      <c r="K121" s="193">
        <f>+K120*K119</f>
        <v>19022</v>
      </c>
      <c r="L121" s="170"/>
      <c r="M121" s="1"/>
      <c r="N121" s="169" t="s">
        <v>293</v>
      </c>
      <c r="O121" s="170"/>
      <c r="P121" s="193">
        <f>+P120*P119</f>
        <v>4871</v>
      </c>
      <c r="Q121" s="171"/>
    </row>
    <row r="122" spans="1:17" ht="13.5" thickBot="1" x14ac:dyDescent="0.35">
      <c r="A122" s="472">
        <v>1</v>
      </c>
      <c r="B122" s="20" t="s">
        <v>52</v>
      </c>
      <c r="C122" s="20" t="s">
        <v>33</v>
      </c>
      <c r="D122" s="38">
        <v>2312</v>
      </c>
      <c r="E122" s="23">
        <v>181.44114012425663</v>
      </c>
      <c r="F122" s="157">
        <f>+E122*(1+F$110)</f>
        <v>191.78328511133924</v>
      </c>
      <c r="H122" s="466"/>
      <c r="J122" s="169" t="s">
        <v>44</v>
      </c>
      <c r="K122" s="193">
        <f>+K121+K115+L115</f>
        <v>77860.712328000402</v>
      </c>
      <c r="L122" s="170"/>
      <c r="M122" s="1"/>
      <c r="N122" s="169" t="s">
        <v>44</v>
      </c>
      <c r="O122" s="170"/>
      <c r="P122" s="193">
        <f>+P121+P115+Q115</f>
        <v>59692.232328000398</v>
      </c>
      <c r="Q122" s="171"/>
    </row>
    <row r="123" spans="1:17" ht="13.5" thickBot="1" x14ac:dyDescent="0.35">
      <c r="A123" s="472">
        <v>1</v>
      </c>
      <c r="B123" s="20" t="s">
        <v>53</v>
      </c>
      <c r="C123" s="20" t="s">
        <v>38</v>
      </c>
      <c r="D123" s="38">
        <v>1312</v>
      </c>
      <c r="E123" s="23">
        <v>31.231198996090651</v>
      </c>
      <c r="F123" s="157">
        <f>+E123*(1+F$110)</f>
        <v>33.011377338867817</v>
      </c>
      <c r="H123" s="466"/>
      <c r="J123" s="160" t="s">
        <v>291</v>
      </c>
      <c r="K123" s="194">
        <v>8914.75</v>
      </c>
      <c r="L123" s="164"/>
      <c r="N123" t="s">
        <v>291</v>
      </c>
      <c r="O123" s="164"/>
      <c r="P123" s="194">
        <v>8914.75</v>
      </c>
      <c r="Q123" s="166"/>
    </row>
    <row r="124" spans="1:17" ht="13.5" thickTop="1" x14ac:dyDescent="0.3">
      <c r="A124" s="469"/>
      <c r="B124" s="12"/>
      <c r="C124" s="12"/>
      <c r="D124" s="12"/>
      <c r="E124" s="41"/>
      <c r="F124" s="72"/>
      <c r="H124" s="466"/>
      <c r="J124" s="161" t="s">
        <v>294</v>
      </c>
      <c r="K124" s="190">
        <f>SUM(K122:K123)</f>
        <v>86775.462328000402</v>
      </c>
      <c r="L124" s="164"/>
      <c r="O124" s="164"/>
      <c r="P124" s="190">
        <f>SUM(P122:P123)</f>
        <v>68606.982328000391</v>
      </c>
      <c r="Q124" s="166"/>
    </row>
    <row r="125" spans="1:17" ht="15.5" thickBot="1" x14ac:dyDescent="0.35">
      <c r="A125" s="472"/>
      <c r="B125" s="917" t="s">
        <v>94</v>
      </c>
      <c r="C125" s="918"/>
      <c r="D125" s="918"/>
      <c r="E125" s="918"/>
      <c r="F125" s="919"/>
      <c r="H125" s="466"/>
      <c r="J125" s="656" t="s">
        <v>445</v>
      </c>
      <c r="K125" s="191">
        <v>100</v>
      </c>
      <c r="L125" s="164" t="s">
        <v>288</v>
      </c>
      <c r="N125" s="656" t="s">
        <v>445</v>
      </c>
      <c r="O125" s="164"/>
      <c r="P125" s="191">
        <v>100</v>
      </c>
      <c r="Q125" s="166" t="s">
        <v>288</v>
      </c>
    </row>
    <row r="126" spans="1:17" ht="13.5" thickBot="1" x14ac:dyDescent="0.35">
      <c r="A126" s="472"/>
      <c r="B126" s="20"/>
      <c r="C126" s="20"/>
      <c r="D126" s="20"/>
      <c r="E126" s="27"/>
      <c r="F126" s="56"/>
      <c r="H126" s="466"/>
      <c r="J126" s="162"/>
      <c r="K126" s="172">
        <f>+K124/K125</f>
        <v>867.75462328000401</v>
      </c>
      <c r="L126" s="172" t="s">
        <v>287</v>
      </c>
      <c r="M126" s="172"/>
      <c r="N126" s="172"/>
      <c r="O126" s="172"/>
      <c r="P126" s="172">
        <f>+P124/P125</f>
        <v>686.0698232800039</v>
      </c>
      <c r="Q126" s="173" t="s">
        <v>287</v>
      </c>
    </row>
    <row r="127" spans="1:17" ht="13.5" x14ac:dyDescent="0.35">
      <c r="A127" s="472" t="s">
        <v>1</v>
      </c>
      <c r="B127" s="13" t="s">
        <v>39</v>
      </c>
      <c r="C127" s="13"/>
      <c r="D127" s="14"/>
      <c r="E127" s="15" t="str">
        <f>E$11</f>
        <v>2025/2026</v>
      </c>
      <c r="F127" s="68" t="str">
        <f>F$11</f>
        <v>2026/2027</v>
      </c>
      <c r="H127" s="466"/>
    </row>
    <row r="128" spans="1:17" ht="13.5" x14ac:dyDescent="0.35">
      <c r="A128" s="472"/>
      <c r="B128" s="13"/>
      <c r="C128" s="13"/>
      <c r="D128" s="14"/>
      <c r="E128" s="15"/>
      <c r="F128" s="156" t="s">
        <v>352</v>
      </c>
      <c r="H128" s="466"/>
    </row>
    <row r="129" spans="1:19" ht="13.5" x14ac:dyDescent="0.35">
      <c r="A129" s="472"/>
      <c r="B129" s="20"/>
      <c r="C129" s="16"/>
      <c r="D129" s="19"/>
      <c r="E129" s="18"/>
      <c r="F129" s="156">
        <f>F2</f>
        <v>5.7000000000000009E-2</v>
      </c>
      <c r="H129" s="466"/>
      <c r="J129" s="632">
        <v>45092</v>
      </c>
    </row>
    <row r="130" spans="1:19" ht="13.5" thickBot="1" x14ac:dyDescent="0.35">
      <c r="A130" s="472"/>
      <c r="B130" s="22" t="s">
        <v>204</v>
      </c>
      <c r="C130" s="20"/>
      <c r="D130" s="38"/>
      <c r="E130" s="23"/>
      <c r="F130" s="56"/>
      <c r="H130" s="466"/>
      <c r="J130" s="546"/>
    </row>
    <row r="131" spans="1:19" ht="13.5" thickBot="1" x14ac:dyDescent="0.35">
      <c r="A131" s="472">
        <v>4.0999999999999996</v>
      </c>
      <c r="B131" s="20" t="s">
        <v>119</v>
      </c>
      <c r="C131" s="20" t="s">
        <v>95</v>
      </c>
      <c r="D131" s="38"/>
      <c r="E131" s="23">
        <v>1358.0868906000003</v>
      </c>
      <c r="F131" s="585">
        <f>+E131*(1+F$129)</f>
        <v>1435.4978433642002</v>
      </c>
      <c r="G131" s="600"/>
      <c r="H131" s="466"/>
      <c r="J131" s="748" t="s">
        <v>586</v>
      </c>
      <c r="K131" s="749" t="s">
        <v>370</v>
      </c>
      <c r="L131" s="749" t="s">
        <v>371</v>
      </c>
      <c r="M131" s="749" t="s">
        <v>372</v>
      </c>
      <c r="N131" s="749" t="s">
        <v>373</v>
      </c>
      <c r="O131" s="749" t="s">
        <v>374</v>
      </c>
      <c r="P131" s="749" t="s">
        <v>618</v>
      </c>
      <c r="Q131" s="749" t="s">
        <v>375</v>
      </c>
      <c r="R131" s="749" t="s">
        <v>376</v>
      </c>
      <c r="S131" s="749" t="s">
        <v>377</v>
      </c>
    </row>
    <row r="132" spans="1:19" ht="13" x14ac:dyDescent="0.3">
      <c r="A132" s="472">
        <v>4.2</v>
      </c>
      <c r="B132" s="20" t="s">
        <v>120</v>
      </c>
      <c r="C132" s="20" t="s">
        <v>95</v>
      </c>
      <c r="D132" s="38"/>
      <c r="E132" s="23">
        <v>1040.2893325000002</v>
      </c>
      <c r="F132" s="585">
        <f>+E132*(1+F$129)</f>
        <v>1099.5858244525002</v>
      </c>
      <c r="H132" s="466"/>
      <c r="J132" s="755" t="s">
        <v>587</v>
      </c>
      <c r="K132" s="756" t="s">
        <v>588</v>
      </c>
      <c r="L132" s="756" t="s">
        <v>378</v>
      </c>
      <c r="M132" s="756" t="s">
        <v>379</v>
      </c>
      <c r="N132" s="757"/>
      <c r="O132" s="757"/>
      <c r="P132" s="768" t="s">
        <v>589</v>
      </c>
      <c r="Q132" s="756"/>
      <c r="R132" s="756"/>
      <c r="S132" s="758"/>
    </row>
    <row r="133" spans="1:19" ht="13" x14ac:dyDescent="0.3">
      <c r="A133" s="472">
        <v>4.2</v>
      </c>
      <c r="B133" s="20" t="s">
        <v>121</v>
      </c>
      <c r="C133" s="20" t="s">
        <v>95</v>
      </c>
      <c r="D133" s="38"/>
      <c r="E133" s="23">
        <v>1169.6124627000004</v>
      </c>
      <c r="F133" s="585">
        <f>+E133*(1+F$129)</f>
        <v>1236.2803730739004</v>
      </c>
      <c r="H133" s="466"/>
      <c r="J133" s="759" t="s">
        <v>590</v>
      </c>
      <c r="K133" s="750" t="s">
        <v>591</v>
      </c>
      <c r="L133" s="750" t="s">
        <v>378</v>
      </c>
      <c r="M133" s="752" t="s">
        <v>379</v>
      </c>
      <c r="N133" s="751"/>
      <c r="O133" s="751"/>
      <c r="P133" s="752" t="s">
        <v>589</v>
      </c>
      <c r="Q133" s="750"/>
      <c r="R133" s="750"/>
      <c r="S133" s="760"/>
    </row>
    <row r="134" spans="1:19" ht="19.25" customHeight="1" x14ac:dyDescent="0.3">
      <c r="A134" s="472">
        <v>4.3</v>
      </c>
      <c r="B134" s="20" t="s">
        <v>122</v>
      </c>
      <c r="C134" s="20" t="s">
        <v>95</v>
      </c>
      <c r="D134" s="38"/>
      <c r="E134" s="23">
        <v>486.5333286</v>
      </c>
      <c r="F134" s="585">
        <f>+E134*(1+F$129)</f>
        <v>514.26572833019998</v>
      </c>
      <c r="H134" s="466"/>
      <c r="J134" s="759" t="s">
        <v>592</v>
      </c>
      <c r="K134" s="750" t="s">
        <v>593</v>
      </c>
      <c r="L134" s="750" t="s">
        <v>378</v>
      </c>
      <c r="M134" s="752" t="s">
        <v>379</v>
      </c>
      <c r="N134" s="751"/>
      <c r="O134" s="751"/>
      <c r="P134" s="752" t="s">
        <v>594</v>
      </c>
      <c r="Q134" s="750"/>
      <c r="R134" s="750"/>
      <c r="S134" s="760"/>
    </row>
    <row r="135" spans="1:19" ht="13" x14ac:dyDescent="0.3">
      <c r="A135" s="472"/>
      <c r="B135" s="20"/>
      <c r="C135" s="20"/>
      <c r="D135" s="38"/>
      <c r="E135" s="23"/>
      <c r="F135" s="585"/>
      <c r="H135" s="466"/>
      <c r="J135" s="759" t="s">
        <v>595</v>
      </c>
      <c r="K135" s="750" t="s">
        <v>596</v>
      </c>
      <c r="L135" s="750" t="s">
        <v>378</v>
      </c>
      <c r="M135" s="752" t="s">
        <v>379</v>
      </c>
      <c r="N135" s="751"/>
      <c r="O135" s="751"/>
      <c r="P135" s="752" t="s">
        <v>589</v>
      </c>
      <c r="Q135" s="750"/>
      <c r="R135" s="750"/>
      <c r="S135" s="760"/>
    </row>
    <row r="136" spans="1:19" ht="13" x14ac:dyDescent="0.3">
      <c r="A136" s="472"/>
      <c r="B136" s="22" t="s">
        <v>203</v>
      </c>
      <c r="C136" s="20"/>
      <c r="D136" s="38"/>
      <c r="E136" s="23"/>
      <c r="F136" s="585"/>
      <c r="H136" s="466"/>
      <c r="J136" s="759" t="s">
        <v>597</v>
      </c>
      <c r="K136" s="750" t="s">
        <v>591</v>
      </c>
      <c r="L136" s="750" t="s">
        <v>378</v>
      </c>
      <c r="M136" s="752" t="s">
        <v>379</v>
      </c>
      <c r="N136" s="751"/>
      <c r="O136" s="751"/>
      <c r="P136" s="752" t="s">
        <v>589</v>
      </c>
      <c r="Q136" s="750"/>
      <c r="R136" s="750"/>
      <c r="S136" s="760"/>
    </row>
    <row r="137" spans="1:19" ht="13" x14ac:dyDescent="0.3">
      <c r="A137" s="483">
        <v>4.0999999999999996</v>
      </c>
      <c r="B137" s="20" t="s">
        <v>123</v>
      </c>
      <c r="C137" s="42" t="s">
        <v>95</v>
      </c>
      <c r="D137" s="43"/>
      <c r="E137" s="23">
        <v>1358.0868906000003</v>
      </c>
      <c r="F137" s="585">
        <f>+E137*(1+F$129)</f>
        <v>1435.4978433642002</v>
      </c>
      <c r="H137" s="466"/>
      <c r="J137" s="759" t="s">
        <v>598</v>
      </c>
      <c r="K137" s="750" t="s">
        <v>599</v>
      </c>
      <c r="L137" s="750" t="s">
        <v>378</v>
      </c>
      <c r="M137" s="752" t="s">
        <v>379</v>
      </c>
      <c r="N137" s="751"/>
      <c r="O137" s="751"/>
      <c r="P137" s="752" t="s">
        <v>589</v>
      </c>
      <c r="Q137" s="750"/>
      <c r="R137" s="750"/>
      <c r="S137" s="760"/>
    </row>
    <row r="138" spans="1:19" ht="13" x14ac:dyDescent="0.3">
      <c r="A138" s="483">
        <v>4.2</v>
      </c>
      <c r="B138" s="20" t="s">
        <v>124</v>
      </c>
      <c r="C138" s="42" t="s">
        <v>95</v>
      </c>
      <c r="D138" s="43"/>
      <c r="E138" s="23">
        <v>1142.8630895000001</v>
      </c>
      <c r="F138" s="585">
        <f>+E138*(1+F$129)</f>
        <v>1208.0062856014999</v>
      </c>
      <c r="H138" s="466"/>
      <c r="J138" s="759" t="s">
        <v>600</v>
      </c>
      <c r="K138" s="750" t="s">
        <v>601</v>
      </c>
      <c r="L138" s="750" t="s">
        <v>378</v>
      </c>
      <c r="M138" s="752" t="s">
        <v>379</v>
      </c>
      <c r="N138" s="751"/>
      <c r="O138" s="751"/>
      <c r="P138" s="752" t="s">
        <v>602</v>
      </c>
      <c r="Q138" s="750"/>
      <c r="R138" s="750"/>
      <c r="S138" s="760"/>
    </row>
    <row r="139" spans="1:19" ht="13" x14ac:dyDescent="0.3">
      <c r="A139" s="483">
        <v>4.2</v>
      </c>
      <c r="B139" s="20" t="s">
        <v>125</v>
      </c>
      <c r="C139" s="42" t="s">
        <v>95</v>
      </c>
      <c r="D139" s="43"/>
      <c r="E139" s="23">
        <v>1874.8361456000005</v>
      </c>
      <c r="F139" s="585">
        <f>+E139*(1+F$129)</f>
        <v>1981.7018058992003</v>
      </c>
      <c r="H139" s="466"/>
      <c r="J139" s="759" t="s">
        <v>603</v>
      </c>
      <c r="K139" s="750" t="s">
        <v>604</v>
      </c>
      <c r="L139" s="750" t="s">
        <v>378</v>
      </c>
      <c r="M139" s="752" t="s">
        <v>379</v>
      </c>
      <c r="N139" s="751"/>
      <c r="O139" s="751"/>
      <c r="P139" s="752" t="s">
        <v>605</v>
      </c>
      <c r="Q139" s="750"/>
      <c r="R139" s="750"/>
      <c r="S139" s="760"/>
    </row>
    <row r="140" spans="1:19" ht="13.5" x14ac:dyDescent="0.35">
      <c r="A140" s="484"/>
      <c r="B140" s="20"/>
      <c r="C140" s="20"/>
      <c r="D140" s="20"/>
      <c r="E140" s="23"/>
      <c r="F140" s="24"/>
      <c r="H140" s="466"/>
      <c r="J140" s="761" t="s">
        <v>607</v>
      </c>
      <c r="K140" s="752" t="s">
        <v>606</v>
      </c>
      <c r="L140" s="752" t="s">
        <v>378</v>
      </c>
      <c r="M140" s="752" t="s">
        <v>379</v>
      </c>
      <c r="N140" s="753">
        <v>1421.15</v>
      </c>
      <c r="O140" s="753">
        <f>N140*1.1</f>
        <v>1563.2650000000003</v>
      </c>
      <c r="P140" s="752" t="s">
        <v>605</v>
      </c>
      <c r="Q140" s="754">
        <v>14072</v>
      </c>
      <c r="R140" s="753">
        <v>2091.75</v>
      </c>
      <c r="S140" s="762">
        <v>0.148646</v>
      </c>
    </row>
    <row r="141" spans="1:19" ht="13" x14ac:dyDescent="0.3">
      <c r="A141" s="468"/>
      <c r="B141" s="3"/>
      <c r="C141" s="3">
        <f>+'Unit tariffs'!B47:F47</f>
        <v>0</v>
      </c>
      <c r="D141" s="152"/>
      <c r="E141" s="3"/>
      <c r="F141" s="153"/>
      <c r="H141" s="466"/>
      <c r="J141" s="761" t="s">
        <v>608</v>
      </c>
      <c r="K141" s="752" t="s">
        <v>609</v>
      </c>
      <c r="L141" s="752" t="s">
        <v>378</v>
      </c>
      <c r="M141" s="752" t="s">
        <v>379</v>
      </c>
      <c r="N141" s="753">
        <v>647.71</v>
      </c>
      <c r="O141" s="753">
        <f t="shared" ref="O141:O143" si="9">N141*1.1</f>
        <v>712.48100000000011</v>
      </c>
      <c r="P141" s="752" t="s">
        <v>610</v>
      </c>
      <c r="Q141" s="754">
        <v>208</v>
      </c>
      <c r="R141" s="753">
        <v>1023.51</v>
      </c>
      <c r="S141" s="762">
        <v>4.9207210000000003</v>
      </c>
    </row>
    <row r="142" spans="1:19" ht="17.25" customHeight="1" x14ac:dyDescent="0.3">
      <c r="A142" s="276" t="s">
        <v>193</v>
      </c>
      <c r="B142" s="46"/>
      <c r="C142" s="47"/>
      <c r="D142" s="20" t="s">
        <v>1</v>
      </c>
      <c r="E142" s="20"/>
      <c r="F142" s="56"/>
      <c r="H142" s="466"/>
      <c r="J142" s="761" t="s">
        <v>611</v>
      </c>
      <c r="K142" s="752" t="s">
        <v>612</v>
      </c>
      <c r="L142" s="752" t="s">
        <v>378</v>
      </c>
      <c r="M142" s="752" t="s">
        <v>379</v>
      </c>
      <c r="N142" s="753">
        <v>747.85</v>
      </c>
      <c r="O142" s="753">
        <f t="shared" si="9"/>
        <v>822.6350000000001</v>
      </c>
      <c r="P142" s="752" t="s">
        <v>613</v>
      </c>
      <c r="Q142" s="754">
        <v>2397</v>
      </c>
      <c r="R142" s="753">
        <v>7074.95</v>
      </c>
      <c r="S142" s="762">
        <v>2.9515850000000001</v>
      </c>
    </row>
    <row r="143" spans="1:19" ht="13.5" thickBot="1" x14ac:dyDescent="0.35">
      <c r="A143" s="485"/>
      <c r="B143" s="51"/>
      <c r="C143" s="50" t="str">
        <f>F127</f>
        <v>2026/2027</v>
      </c>
      <c r="D143" s="20"/>
      <c r="E143" s="20"/>
      <c r="F143" s="56"/>
      <c r="H143" s="466"/>
      <c r="J143" s="763" t="s">
        <v>614</v>
      </c>
      <c r="K143" s="764" t="s">
        <v>615</v>
      </c>
      <c r="L143" s="764" t="s">
        <v>378</v>
      </c>
      <c r="M143" s="764" t="s">
        <v>379</v>
      </c>
      <c r="N143" s="765">
        <v>861.65</v>
      </c>
      <c r="O143" s="753">
        <f t="shared" si="9"/>
        <v>947.81500000000005</v>
      </c>
      <c r="P143" s="764" t="s">
        <v>616</v>
      </c>
      <c r="Q143" s="766">
        <v>341</v>
      </c>
      <c r="R143" s="765">
        <v>4035.2</v>
      </c>
      <c r="S143" s="767">
        <v>11.83343</v>
      </c>
    </row>
    <row r="144" spans="1:19" ht="13" x14ac:dyDescent="0.3">
      <c r="A144" s="486" t="s">
        <v>194</v>
      </c>
      <c r="B144" s="48"/>
      <c r="C144" s="54" t="s">
        <v>201</v>
      </c>
      <c r="D144" s="52" t="s">
        <v>200</v>
      </c>
      <c r="E144" s="52" t="s">
        <v>108</v>
      </c>
      <c r="F144" s="154" t="s">
        <v>138</v>
      </c>
      <c r="H144" s="466"/>
      <c r="J144" s="546"/>
    </row>
    <row r="145" spans="1:14" ht="13" x14ac:dyDescent="0.3">
      <c r="A145" s="160"/>
      <c r="B145" s="75" t="s">
        <v>220</v>
      </c>
      <c r="C145" s="46">
        <f>F131+F133+F134</f>
        <v>3186.0439447683007</v>
      </c>
      <c r="D145" s="53">
        <f>C145*5</f>
        <v>15930.219723841503</v>
      </c>
      <c r="E145" s="53">
        <f>D145*F$3</f>
        <v>2389.5329585762252</v>
      </c>
      <c r="F145" s="155">
        <f>SUM(D145:E145)</f>
        <v>18319.752682417729</v>
      </c>
      <c r="H145" s="466"/>
      <c r="J145" s="902" t="s">
        <v>380</v>
      </c>
      <c r="K145" s="902"/>
      <c r="L145" s="902"/>
      <c r="M145" s="902"/>
      <c r="N145" s="902"/>
    </row>
    <row r="146" spans="1:14" ht="13" x14ac:dyDescent="0.3">
      <c r="A146" s="160"/>
      <c r="B146" s="75" t="s">
        <v>221</v>
      </c>
      <c r="C146" s="46">
        <f>F133+F134</f>
        <v>1750.5461014041002</v>
      </c>
      <c r="D146" s="53">
        <f>C146*5</f>
        <v>8752.7305070205002</v>
      </c>
      <c r="E146" s="53">
        <f>D146*F$3</f>
        <v>1312.9095760530749</v>
      </c>
      <c r="F146" s="155">
        <f>SUM(D146:E146)</f>
        <v>10065.640083073575</v>
      </c>
      <c r="H146" s="466"/>
      <c r="J146" s="902"/>
      <c r="K146" s="902"/>
      <c r="L146" s="902"/>
      <c r="M146" s="902"/>
      <c r="N146" s="902"/>
    </row>
    <row r="147" spans="1:14" ht="13" x14ac:dyDescent="0.3">
      <c r="A147" s="486" t="s">
        <v>195</v>
      </c>
      <c r="B147" s="49"/>
      <c r="C147" s="46"/>
      <c r="D147" s="53"/>
      <c r="E147" s="53"/>
      <c r="F147" s="155"/>
      <c r="H147" s="466"/>
      <c r="J147" s="902"/>
      <c r="K147" s="902"/>
      <c r="L147" s="902"/>
      <c r="M147" s="902"/>
      <c r="N147" s="902"/>
    </row>
    <row r="148" spans="1:14" ht="13" x14ac:dyDescent="0.3">
      <c r="A148" s="160"/>
      <c r="B148" s="75" t="s">
        <v>222</v>
      </c>
      <c r="C148" s="46">
        <f>F131+F132</f>
        <v>2535.0836678167007</v>
      </c>
      <c r="D148" s="53">
        <f>C148*5</f>
        <v>12675.418339083502</v>
      </c>
      <c r="E148" s="53">
        <f>D148*F$3</f>
        <v>1901.3127508625253</v>
      </c>
      <c r="F148" s="155">
        <f>SUM(D148:E148)</f>
        <v>14576.731089946028</v>
      </c>
      <c r="H148" s="466"/>
      <c r="J148" s="902"/>
      <c r="K148" s="902"/>
      <c r="L148" s="902"/>
      <c r="M148" s="902"/>
      <c r="N148" s="902"/>
    </row>
    <row r="149" spans="1:14" ht="13" x14ac:dyDescent="0.3">
      <c r="A149" s="160"/>
      <c r="B149" s="75" t="s">
        <v>223</v>
      </c>
      <c r="C149" s="46">
        <f>F132</f>
        <v>1099.5858244525002</v>
      </c>
      <c r="D149" s="53">
        <f>C149*5</f>
        <v>5497.9291222625016</v>
      </c>
      <c r="E149" s="53">
        <f>D149*F$3</f>
        <v>824.68936833937516</v>
      </c>
      <c r="F149" s="155">
        <f>SUM(D149:E149)</f>
        <v>6322.6184906018771</v>
      </c>
      <c r="H149" s="466"/>
      <c r="J149" s="902"/>
      <c r="K149" s="902"/>
      <c r="L149" s="902"/>
      <c r="M149" s="902"/>
      <c r="N149" s="902"/>
    </row>
    <row r="150" spans="1:14" ht="13" x14ac:dyDescent="0.3">
      <c r="A150" s="486" t="s">
        <v>196</v>
      </c>
      <c r="B150" s="49"/>
      <c r="C150" s="46"/>
      <c r="D150" s="53"/>
      <c r="E150" s="53"/>
      <c r="F150" s="155"/>
      <c r="H150" s="466"/>
      <c r="J150" s="902"/>
      <c r="K150" s="902"/>
      <c r="L150" s="902"/>
      <c r="M150" s="902"/>
      <c r="N150" s="902"/>
    </row>
    <row r="151" spans="1:14" ht="13" x14ac:dyDescent="0.3">
      <c r="A151" s="160"/>
      <c r="B151" s="75" t="s">
        <v>224</v>
      </c>
      <c r="C151" s="46">
        <f>F137+F139</f>
        <v>3417.1996492634007</v>
      </c>
      <c r="D151" s="53">
        <f>C151*5</f>
        <v>17085.998246317002</v>
      </c>
      <c r="E151" s="53">
        <f>D151*F$3</f>
        <v>2562.8997369475501</v>
      </c>
      <c r="F151" s="155">
        <f>SUM(D151:E151)</f>
        <v>19648.897983264553</v>
      </c>
      <c r="H151" s="466"/>
    </row>
    <row r="152" spans="1:14" ht="13.5" thickBot="1" x14ac:dyDescent="0.35">
      <c r="A152" s="160"/>
      <c r="B152" s="75" t="s">
        <v>225</v>
      </c>
      <c r="C152" s="46">
        <f>F139</f>
        <v>1981.7018058992003</v>
      </c>
      <c r="D152" s="53">
        <f>C152*5</f>
        <v>9908.5090294960009</v>
      </c>
      <c r="E152" s="53">
        <f>D152*F$3</f>
        <v>1486.2763544244001</v>
      </c>
      <c r="F152" s="155">
        <f>SUM(D152:E152)</f>
        <v>11394.785383920402</v>
      </c>
      <c r="H152" s="466"/>
    </row>
    <row r="153" spans="1:14" ht="13" x14ac:dyDescent="0.3">
      <c r="A153" s="486" t="s">
        <v>197</v>
      </c>
      <c r="B153" s="49"/>
      <c r="C153" s="46"/>
      <c r="D153" s="53"/>
      <c r="E153" s="53"/>
      <c r="F153" s="155"/>
      <c r="H153" s="466"/>
      <c r="J153" s="547"/>
      <c r="K153" s="548" t="s">
        <v>381</v>
      </c>
      <c r="L153" s="548" t="s">
        <v>382</v>
      </c>
      <c r="M153" s="548" t="s">
        <v>383</v>
      </c>
      <c r="N153" s="548" t="s">
        <v>384</v>
      </c>
    </row>
    <row r="154" spans="1:14" ht="13.5" thickBot="1" x14ac:dyDescent="0.35">
      <c r="A154" s="160"/>
      <c r="B154" s="75" t="s">
        <v>226</v>
      </c>
      <c r="C154" s="46">
        <f>F137+F138</f>
        <v>2643.5041289657001</v>
      </c>
      <c r="D154" s="53">
        <f>C154*5</f>
        <v>13217.520644828501</v>
      </c>
      <c r="E154" s="53">
        <f>D154*F$3</f>
        <v>1982.6280967242751</v>
      </c>
      <c r="F154" s="155">
        <f>SUM(D154:E154)</f>
        <v>15200.148741552775</v>
      </c>
      <c r="H154" s="466"/>
      <c r="J154" s="549" t="s">
        <v>385</v>
      </c>
      <c r="K154" s="550" t="s">
        <v>386</v>
      </c>
      <c r="L154" s="550" t="s">
        <v>387</v>
      </c>
      <c r="M154" s="550" t="s">
        <v>387</v>
      </c>
      <c r="N154" s="550" t="s">
        <v>387</v>
      </c>
    </row>
    <row r="155" spans="1:14" ht="14" thickTop="1" thickBot="1" x14ac:dyDescent="0.35">
      <c r="A155" s="162"/>
      <c r="B155" s="487" t="s">
        <v>227</v>
      </c>
      <c r="C155" s="488">
        <f>F138</f>
        <v>1208.0062856014999</v>
      </c>
      <c r="D155" s="489">
        <f>C155*5</f>
        <v>6040.0314280074999</v>
      </c>
      <c r="E155" s="53">
        <f>D155*F$3</f>
        <v>906.00471420112501</v>
      </c>
      <c r="F155" s="490">
        <f>SUM(D155:E155)</f>
        <v>6946.0361422086253</v>
      </c>
      <c r="G155" s="491"/>
      <c r="H155" s="492"/>
      <c r="J155" s="551" t="s">
        <v>388</v>
      </c>
      <c r="K155" s="552"/>
      <c r="L155" s="552"/>
      <c r="M155" s="552"/>
      <c r="N155" s="552"/>
    </row>
    <row r="156" spans="1:14" ht="13.5" thickBot="1" x14ac:dyDescent="0.35">
      <c r="A156" s="3"/>
      <c r="B156" s="3"/>
      <c r="C156" s="3"/>
      <c r="D156" s="3"/>
      <c r="E156" s="3"/>
      <c r="F156" s="3"/>
      <c r="J156" s="553" t="s">
        <v>389</v>
      </c>
      <c r="K156" s="554">
        <v>82.5</v>
      </c>
      <c r="L156" s="554">
        <v>65</v>
      </c>
      <c r="M156" s="554">
        <v>16.77</v>
      </c>
      <c r="N156" s="554">
        <v>11.8</v>
      </c>
    </row>
    <row r="157" spans="1:14" ht="13.5" thickBot="1" x14ac:dyDescent="0.35">
      <c r="A157" s="3"/>
      <c r="B157" s="3"/>
      <c r="C157" s="3"/>
      <c r="D157" s="3"/>
      <c r="E157" s="3"/>
      <c r="F157" s="3"/>
      <c r="J157" s="553" t="s">
        <v>390</v>
      </c>
      <c r="K157" s="554">
        <v>107</v>
      </c>
      <c r="L157" s="552"/>
      <c r="M157" s="552"/>
      <c r="N157" s="552"/>
    </row>
    <row r="158" spans="1:14" ht="13.5" thickBot="1" x14ac:dyDescent="0.35">
      <c r="A158" s="3"/>
      <c r="B158" s="3"/>
      <c r="C158" s="3"/>
      <c r="E158" s="3"/>
      <c r="F158" s="3"/>
      <c r="J158" s="553" t="s">
        <v>391</v>
      </c>
      <c r="K158" s="554">
        <v>80</v>
      </c>
      <c r="L158" s="554">
        <v>75</v>
      </c>
      <c r="M158" s="554">
        <v>18</v>
      </c>
      <c r="N158" s="554">
        <v>11.8</v>
      </c>
    </row>
    <row r="159" spans="1:14" ht="13.5" thickBot="1" x14ac:dyDescent="0.35">
      <c r="A159" s="3"/>
      <c r="B159" s="3"/>
      <c r="C159" s="3"/>
      <c r="D159" s="3"/>
      <c r="E159" s="3"/>
      <c r="F159" s="3"/>
      <c r="J159" s="553" t="s">
        <v>392</v>
      </c>
      <c r="K159" s="554">
        <v>0</v>
      </c>
      <c r="L159" s="552"/>
      <c r="M159" s="552"/>
      <c r="N159" s="552"/>
    </row>
    <row r="160" spans="1:14" ht="14" thickBot="1" x14ac:dyDescent="0.4">
      <c r="A160" s="3"/>
      <c r="B160" s="3"/>
      <c r="C160" s="3"/>
      <c r="D160" s="3"/>
      <c r="E160" s="15" t="str">
        <f>E$11</f>
        <v>2025/2026</v>
      </c>
      <c r="F160" s="68" t="str">
        <f>F$11</f>
        <v>2026/2027</v>
      </c>
      <c r="J160" s="553" t="s">
        <v>393</v>
      </c>
      <c r="K160" s="554">
        <v>100</v>
      </c>
      <c r="L160" s="554">
        <v>90</v>
      </c>
      <c r="M160" s="554">
        <v>19.66</v>
      </c>
      <c r="N160" s="554">
        <v>11.8</v>
      </c>
    </row>
    <row r="161" spans="1:14" ht="15.5" thickBot="1" x14ac:dyDescent="0.35">
      <c r="A161" s="3"/>
      <c r="B161" s="637" t="s">
        <v>432</v>
      </c>
      <c r="C161" s="465"/>
      <c r="D161" s="465"/>
      <c r="E161" s="465" t="s">
        <v>434</v>
      </c>
      <c r="F161" s="634">
        <v>7.2300000000000003E-2</v>
      </c>
      <c r="J161" s="553" t="s">
        <v>392</v>
      </c>
      <c r="K161" s="554">
        <v>140</v>
      </c>
      <c r="L161" s="552"/>
      <c r="M161" s="552"/>
      <c r="N161" s="552"/>
    </row>
    <row r="162" spans="1:14" ht="13.5" thickBot="1" x14ac:dyDescent="0.35">
      <c r="A162" s="3"/>
      <c r="B162" s="3"/>
      <c r="C162" s="3"/>
      <c r="D162" s="3"/>
      <c r="E162" s="3"/>
      <c r="F162" s="3"/>
      <c r="J162" s="553" t="s">
        <v>394</v>
      </c>
      <c r="K162" s="554">
        <v>82.4</v>
      </c>
      <c r="L162" s="554">
        <v>60</v>
      </c>
      <c r="M162" s="554">
        <v>2.68</v>
      </c>
      <c r="N162" s="554">
        <v>12.93</v>
      </c>
    </row>
    <row r="163" spans="1:14" ht="13.5" thickBot="1" x14ac:dyDescent="0.35">
      <c r="A163" s="3"/>
      <c r="B163" s="3" t="s">
        <v>433</v>
      </c>
      <c r="C163" s="3"/>
      <c r="D163" s="3"/>
      <c r="E163" s="635">
        <v>1.557404</v>
      </c>
      <c r="F163" s="635">
        <f>+E163*(1+$F$161)</f>
        <v>1.6700043092000001</v>
      </c>
      <c r="J163" s="553" t="s">
        <v>392</v>
      </c>
      <c r="K163" s="554">
        <v>80</v>
      </c>
      <c r="L163" s="552"/>
      <c r="M163" s="552"/>
      <c r="N163" s="552"/>
    </row>
    <row r="164" spans="1:14" ht="13" x14ac:dyDescent="0.3">
      <c r="A164" s="3"/>
      <c r="B164" s="3"/>
      <c r="C164" s="3"/>
      <c r="D164" s="3"/>
      <c r="E164" s="635"/>
      <c r="F164" s="635"/>
      <c r="J164" s="546"/>
    </row>
    <row r="165" spans="1:14" ht="37.5" x14ac:dyDescent="0.3">
      <c r="A165" s="3"/>
      <c r="B165" s="74" t="s">
        <v>427</v>
      </c>
      <c r="C165" s="3" t="s">
        <v>437</v>
      </c>
      <c r="D165" s="3"/>
      <c r="E165" s="635">
        <v>1.9151860000000001</v>
      </c>
      <c r="F165" s="635">
        <f>+E165*(1+$F$161)</f>
        <v>2.0536539478</v>
      </c>
      <c r="J165" s="546" t="s">
        <v>395</v>
      </c>
    </row>
    <row r="166" spans="1:14" ht="25" x14ac:dyDescent="0.3">
      <c r="A166" s="3"/>
      <c r="B166" s="3"/>
      <c r="C166" s="3"/>
      <c r="D166" s="3"/>
      <c r="J166" s="546" t="s">
        <v>396</v>
      </c>
    </row>
    <row r="167" spans="1:14" ht="13" x14ac:dyDescent="0.3">
      <c r="A167" s="3"/>
      <c r="B167" s="600" t="s">
        <v>429</v>
      </c>
      <c r="C167" s="600" t="s">
        <v>438</v>
      </c>
      <c r="E167" s="660">
        <v>1559.035065</v>
      </c>
      <c r="F167" s="661">
        <f t="shared" ref="F167:F169" si="10">+E167*(1+$F$161)</f>
        <v>1671.7533001995</v>
      </c>
    </row>
    <row r="168" spans="1:14" ht="13" x14ac:dyDescent="0.3">
      <c r="A168" s="3"/>
      <c r="B168" s="3"/>
      <c r="C168" s="3" t="s">
        <v>436</v>
      </c>
      <c r="D168" s="3"/>
      <c r="E168" s="661">
        <v>180.64834099999999</v>
      </c>
      <c r="F168" s="661">
        <f t="shared" si="10"/>
        <v>193.70921605429999</v>
      </c>
    </row>
    <row r="169" spans="1:14" ht="13" x14ac:dyDescent="0.3">
      <c r="A169" s="3"/>
      <c r="B169" s="3"/>
      <c r="C169" s="3" t="s">
        <v>437</v>
      </c>
      <c r="D169" s="3"/>
      <c r="E169" s="661">
        <v>1.2511847</v>
      </c>
      <c r="F169" s="661">
        <f t="shared" si="10"/>
        <v>1.3416453538100002</v>
      </c>
    </row>
    <row r="170" spans="1:14" ht="13" x14ac:dyDescent="0.3">
      <c r="A170" s="3"/>
      <c r="B170" s="3"/>
      <c r="C170" s="3"/>
      <c r="D170" s="3"/>
      <c r="E170" s="3"/>
      <c r="F170" s="3"/>
    </row>
    <row r="171" spans="1:14" ht="13" x14ac:dyDescent="0.3">
      <c r="A171" s="3"/>
      <c r="B171" s="3"/>
      <c r="C171" s="3"/>
      <c r="D171" s="3"/>
      <c r="E171" s="3"/>
      <c r="F171" s="3"/>
    </row>
    <row r="172" spans="1:14" ht="13" x14ac:dyDescent="0.3">
      <c r="A172" s="3"/>
      <c r="B172" s="3"/>
      <c r="C172" s="3"/>
      <c r="D172" s="3"/>
      <c r="E172" s="3"/>
      <c r="F172" s="3"/>
    </row>
    <row r="173" spans="1:14" ht="13" x14ac:dyDescent="0.3">
      <c r="A173" s="3"/>
      <c r="B173" s="3"/>
      <c r="C173" s="3"/>
      <c r="D173" s="3"/>
      <c r="E173" s="3"/>
      <c r="F173" s="3"/>
    </row>
    <row r="174" spans="1:14" ht="13" x14ac:dyDescent="0.3">
      <c r="A174" s="3"/>
      <c r="B174" s="3"/>
      <c r="C174" s="3"/>
      <c r="D174" s="3"/>
      <c r="E174" s="3"/>
      <c r="F174" s="3"/>
    </row>
    <row r="175" spans="1:14" ht="13" x14ac:dyDescent="0.3">
      <c r="A175" s="3"/>
      <c r="B175" s="3"/>
      <c r="C175" s="3"/>
      <c r="D175" s="3"/>
      <c r="E175" s="3"/>
      <c r="F175" s="3"/>
    </row>
    <row r="176" spans="1:14" ht="13" x14ac:dyDescent="0.3">
      <c r="A176" s="3"/>
      <c r="B176" s="3"/>
      <c r="C176" s="3"/>
      <c r="D176" s="3"/>
      <c r="E176" s="3"/>
      <c r="F176" s="3"/>
    </row>
    <row r="177" spans="1:6" ht="13" x14ac:dyDescent="0.3">
      <c r="A177" s="3"/>
      <c r="B177" s="3"/>
      <c r="C177" s="3"/>
      <c r="D177" s="3"/>
      <c r="E177" s="3"/>
      <c r="F177" s="3"/>
    </row>
    <row r="178" spans="1:6" ht="13" x14ac:dyDescent="0.3">
      <c r="A178" s="3"/>
      <c r="B178" s="3"/>
      <c r="C178" s="3"/>
      <c r="D178" s="3"/>
      <c r="E178" s="3"/>
      <c r="F178" s="3"/>
    </row>
    <row r="179" spans="1:6" ht="13" x14ac:dyDescent="0.3">
      <c r="A179" s="3"/>
      <c r="B179" s="3"/>
      <c r="C179" s="3"/>
      <c r="D179" s="3"/>
      <c r="E179" s="3"/>
      <c r="F179" s="3"/>
    </row>
    <row r="180" spans="1:6" ht="13" x14ac:dyDescent="0.3">
      <c r="A180" s="3"/>
      <c r="B180" s="3"/>
      <c r="C180" s="3"/>
      <c r="D180" s="3"/>
      <c r="E180" s="3"/>
      <c r="F180" s="3"/>
    </row>
    <row r="181" spans="1:6" ht="13" x14ac:dyDescent="0.3">
      <c r="A181" s="3"/>
      <c r="B181" s="3"/>
      <c r="C181" s="3"/>
      <c r="D181" s="3"/>
      <c r="E181" s="3"/>
      <c r="F181" s="3"/>
    </row>
  </sheetData>
  <autoFilter ref="A18:H73" xr:uid="{00000000-0009-0000-0000-000000000000}"/>
  <mergeCells count="13">
    <mergeCell ref="J145:N150"/>
    <mergeCell ref="K11:L14"/>
    <mergeCell ref="M11:N14"/>
    <mergeCell ref="J76:M76"/>
    <mergeCell ref="B9:F9"/>
    <mergeCell ref="B16:F16"/>
    <mergeCell ref="J15:N18"/>
    <mergeCell ref="J11:J14"/>
    <mergeCell ref="B125:F125"/>
    <mergeCell ref="B106:F106"/>
    <mergeCell ref="B78:F78"/>
    <mergeCell ref="F19:F20"/>
    <mergeCell ref="E19:E20"/>
  </mergeCells>
  <phoneticPr fontId="15" type="noConversion"/>
  <hyperlinks>
    <hyperlink ref="G2" r:id="rId1" xr:uid="{00000000-0004-0000-0000-000000000000}"/>
  </hyperlinks>
  <pageMargins left="0.51181102362204722" right="0.23622047244094491" top="0.31496062992125984" bottom="0.47244094488188981" header="0.27559055118110237" footer="0.47244094488188981"/>
  <pageSetup paperSize="9" fitToHeight="0" orientation="landscape" horizontalDpi="300" verticalDpi="300" r:id="rId2"/>
  <headerFooter alignWithMargins="0">
    <oddFooter>&amp;C&amp;P of &amp;N</oddFooter>
  </headerFooter>
  <rowBreaks count="5" manualBreakCount="5">
    <brk id="34" min="1" max="5" man="1"/>
    <brk id="59" min="1" max="5" man="1"/>
    <brk id="101" min="1" max="5" man="1"/>
    <brk id="142" min="1" max="5" man="1"/>
    <brk id="155" max="7" man="1"/>
  </rowBreaks>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4F165-F812-42FC-85D5-90F04A3E8398}">
  <sheetPr>
    <tabColor rgb="FFFF0000"/>
    <pageSetUpPr fitToPage="1"/>
  </sheetPr>
  <dimension ref="A1:Q175"/>
  <sheetViews>
    <sheetView view="pageLayout" topLeftCell="A131" zoomScale="75" zoomScaleNormal="75" zoomScaleSheetLayoutView="62" zoomScalePageLayoutView="75" workbookViewId="0">
      <selection activeCell="B145" sqref="B145"/>
    </sheetView>
  </sheetViews>
  <sheetFormatPr defaultColWidth="8.90625" defaultRowHeight="14.5" x14ac:dyDescent="0.35"/>
  <cols>
    <col min="1" max="1" width="1.6328125" style="2" customWidth="1"/>
    <col min="2" max="2" width="80.36328125" style="195" customWidth="1"/>
    <col min="3" max="3" width="14.1796875" style="197" customWidth="1"/>
    <col min="4" max="4" width="21.36328125" style="199" hidden="1" customWidth="1"/>
    <col min="5" max="5" width="24.36328125" style="774" customWidth="1"/>
    <col min="6" max="6" width="26.6328125" style="200" customWidth="1"/>
    <col min="7" max="7" width="13" style="196" customWidth="1"/>
    <col min="8" max="8" width="11.90625" style="2" customWidth="1"/>
    <col min="9" max="9" width="15.54296875" style="584" bestFit="1" customWidth="1"/>
    <col min="10" max="10" width="20.54296875" style="2" customWidth="1"/>
    <col min="11" max="11" width="14.54296875" style="393" customWidth="1"/>
    <col min="12" max="14" width="15.453125" style="393" customWidth="1"/>
    <col min="15" max="15" width="12.08984375" hidden="1" customWidth="1"/>
    <col min="16" max="16" width="9.1796875" style="2" hidden="1" customWidth="1"/>
    <col min="17" max="17" width="11.81640625" style="2" hidden="1" customWidth="1"/>
    <col min="18" max="16384" width="8.90625" style="2"/>
  </cols>
  <sheetData>
    <row r="1" spans="1:17" ht="15.5" x14ac:dyDescent="0.35">
      <c r="A1" s="261"/>
      <c r="B1" s="262" t="s">
        <v>450</v>
      </c>
      <c r="C1" s="263"/>
      <c r="D1" s="515"/>
      <c r="E1" s="601"/>
      <c r="F1" s="267"/>
      <c r="G1" s="265"/>
      <c r="H1" s="266"/>
      <c r="I1" s="559"/>
      <c r="J1" s="268"/>
      <c r="K1" s="406"/>
      <c r="L1" s="407"/>
      <c r="M1" s="407"/>
      <c r="N1" s="407"/>
    </row>
    <row r="2" spans="1:17" ht="14.4" customHeight="1" x14ac:dyDescent="0.35">
      <c r="A2" s="269"/>
      <c r="B2" s="221" t="s">
        <v>1</v>
      </c>
      <c r="C2" s="222"/>
      <c r="D2" s="516" t="s">
        <v>317</v>
      </c>
      <c r="E2" s="602" t="s">
        <v>317</v>
      </c>
      <c r="F2" s="224" t="s">
        <v>74</v>
      </c>
      <c r="G2" s="327" t="s">
        <v>85</v>
      </c>
      <c r="H2" s="52" t="s">
        <v>441</v>
      </c>
      <c r="I2" s="224" t="s">
        <v>138</v>
      </c>
      <c r="J2" s="325" t="s">
        <v>75</v>
      </c>
      <c r="K2" s="666" t="s">
        <v>138</v>
      </c>
      <c r="L2" s="667" t="s">
        <v>138</v>
      </c>
      <c r="M2" s="667" t="s">
        <v>138</v>
      </c>
      <c r="N2" s="775" t="s">
        <v>138</v>
      </c>
      <c r="O2" s="897" t="s">
        <v>622</v>
      </c>
      <c r="P2" s="897"/>
      <c r="Q2" s="897"/>
    </row>
    <row r="3" spans="1:17" x14ac:dyDescent="0.35">
      <c r="A3" s="269"/>
      <c r="B3" s="307" t="s">
        <v>330</v>
      </c>
      <c r="C3" s="226"/>
      <c r="D3" s="516" t="s">
        <v>318</v>
      </c>
      <c r="E3" s="602" t="s">
        <v>318</v>
      </c>
      <c r="F3" s="224" t="s">
        <v>318</v>
      </c>
      <c r="G3" s="327" t="s">
        <v>86</v>
      </c>
      <c r="H3" s="643">
        <f>+'Unit tariffs'!F$3</f>
        <v>0.15</v>
      </c>
      <c r="I3" s="224" t="s">
        <v>139</v>
      </c>
      <c r="J3" s="325" t="s">
        <v>78</v>
      </c>
      <c r="K3" s="666" t="s">
        <v>139</v>
      </c>
      <c r="L3" s="667" t="s">
        <v>139</v>
      </c>
      <c r="M3" s="667" t="s">
        <v>139</v>
      </c>
      <c r="N3" s="775" t="s">
        <v>139</v>
      </c>
      <c r="O3" s="897"/>
      <c r="P3" s="897"/>
      <c r="Q3" s="897"/>
    </row>
    <row r="4" spans="1:17" x14ac:dyDescent="0.35">
      <c r="A4" s="269"/>
      <c r="B4" s="221" t="s">
        <v>1</v>
      </c>
      <c r="C4" s="226" t="s">
        <v>328</v>
      </c>
      <c r="D4" s="516" t="str">
        <f>'Calc Sheet 23_24'!H11</f>
        <v>2025/2026</v>
      </c>
      <c r="E4" s="665" t="str">
        <f>'Calc Sheet 23_24'!$H$11</f>
        <v>2025/2026</v>
      </c>
      <c r="F4" s="224" t="str">
        <f>'Calc Sheet 23_24'!$I$11</f>
        <v>2026/2027</v>
      </c>
      <c r="G4" s="327" t="str">
        <f>F4</f>
        <v>2026/2027</v>
      </c>
      <c r="H4" s="52" t="str">
        <f>F4</f>
        <v>2026/2027</v>
      </c>
      <c r="I4" s="224" t="str">
        <f>H4</f>
        <v>2026/2027</v>
      </c>
      <c r="J4" s="325" t="s">
        <v>79</v>
      </c>
      <c r="K4" s="666" t="s">
        <v>580</v>
      </c>
      <c r="L4" s="667" t="s">
        <v>620</v>
      </c>
      <c r="M4" s="667" t="s">
        <v>734</v>
      </c>
      <c r="N4" s="775" t="s">
        <v>735</v>
      </c>
      <c r="O4" s="897"/>
      <c r="P4" s="897"/>
      <c r="Q4" s="897"/>
    </row>
    <row r="5" spans="1:17" ht="15" thickBot="1" x14ac:dyDescent="0.4">
      <c r="A5" s="293"/>
      <c r="B5" s="309" t="s">
        <v>1</v>
      </c>
      <c r="C5" s="295" t="s">
        <v>329</v>
      </c>
      <c r="D5" s="517" t="s">
        <v>80</v>
      </c>
      <c r="E5" s="603" t="s">
        <v>711</v>
      </c>
      <c r="F5" s="334" t="s">
        <v>80</v>
      </c>
      <c r="G5" s="332"/>
      <c r="H5" s="333"/>
      <c r="I5" s="334"/>
      <c r="J5" s="335"/>
      <c r="K5" s="410"/>
      <c r="L5" s="411"/>
      <c r="M5" s="411"/>
      <c r="N5" s="776"/>
      <c r="O5" s="897"/>
      <c r="P5" s="897"/>
      <c r="Q5" s="897"/>
    </row>
    <row r="6" spans="1:17" ht="15" thickTop="1" x14ac:dyDescent="0.35">
      <c r="A6" s="286"/>
      <c r="B6" s="315"/>
      <c r="C6" s="329"/>
      <c r="D6" s="518"/>
      <c r="E6" s="604"/>
      <c r="F6" s="292"/>
      <c r="G6" s="290"/>
      <c r="H6" s="291"/>
      <c r="I6" s="560"/>
      <c r="J6" s="310"/>
      <c r="K6" s="412"/>
      <c r="L6" s="413"/>
      <c r="M6" s="413"/>
      <c r="N6" s="777"/>
      <c r="O6" s="779" t="s">
        <v>630</v>
      </c>
      <c r="P6" s="779" t="s">
        <v>631</v>
      </c>
      <c r="Q6" s="779" t="s">
        <v>632</v>
      </c>
    </row>
    <row r="7" spans="1:17" ht="24" customHeight="1" x14ac:dyDescent="0.35">
      <c r="A7" s="269"/>
      <c r="B7" s="226" t="s">
        <v>104</v>
      </c>
      <c r="C7" s="226"/>
      <c r="D7" s="519"/>
      <c r="E7" s="605"/>
      <c r="F7" s="220"/>
      <c r="G7" s="219"/>
      <c r="H7" s="216"/>
      <c r="I7" s="561"/>
      <c r="J7" s="270"/>
      <c r="K7" s="414"/>
      <c r="L7" s="415"/>
      <c r="M7" s="415"/>
      <c r="N7" s="780"/>
      <c r="O7" s="44"/>
      <c r="P7" s="216"/>
      <c r="Q7" s="216"/>
    </row>
    <row r="8" spans="1:17" x14ac:dyDescent="0.35">
      <c r="A8" s="269"/>
      <c r="B8" s="227" t="str">
        <f>'New Conn'!B5</f>
        <v xml:space="preserve">1. NEW CONNECTIONS: </v>
      </c>
      <c r="C8" s="226"/>
      <c r="D8" s="520"/>
      <c r="E8" s="605"/>
      <c r="F8" s="220"/>
      <c r="G8" s="219"/>
      <c r="H8" s="216"/>
      <c r="I8" s="561"/>
      <c r="J8" s="270"/>
      <c r="K8" s="414"/>
      <c r="L8" s="415"/>
      <c r="M8" s="415"/>
      <c r="N8" s="780"/>
      <c r="O8" s="44"/>
      <c r="P8" s="216"/>
      <c r="Q8" s="216"/>
    </row>
    <row r="9" spans="1:17" x14ac:dyDescent="0.35">
      <c r="A9" s="269"/>
      <c r="B9" s="227"/>
      <c r="C9" s="226"/>
      <c r="D9" s="520"/>
      <c r="E9" s="605"/>
      <c r="F9" s="220"/>
      <c r="G9" s="219"/>
      <c r="H9" s="216"/>
      <c r="I9" s="561"/>
      <c r="J9" s="270"/>
      <c r="K9" s="414"/>
      <c r="L9" s="415"/>
      <c r="M9" s="415"/>
      <c r="N9" s="780"/>
      <c r="O9" s="44"/>
      <c r="P9" s="216"/>
      <c r="Q9" s="216"/>
    </row>
    <row r="10" spans="1:17" ht="26" x14ac:dyDescent="0.35">
      <c r="A10" s="269"/>
      <c r="B10" s="221" t="str">
        <f>'New Conn'!B7</f>
        <v xml:space="preserve">1.1  Single phase overhead connection with Split Pre-payment meter taken from overhead network   - No Ready board   </v>
      </c>
      <c r="C10" s="222" t="s">
        <v>240</v>
      </c>
      <c r="D10" s="521">
        <f>'New Conn'!H39</f>
        <v>7370</v>
      </c>
      <c r="E10" s="606">
        <f>D10*1.15</f>
        <v>8475.5</v>
      </c>
      <c r="F10" s="379">
        <f>'New Conn'!I39</f>
        <v>7330</v>
      </c>
      <c r="G10" s="228">
        <f>(F10-E10)/E10</f>
        <v>-0.13515426818476786</v>
      </c>
      <c r="H10" s="229">
        <f>F10*H$3</f>
        <v>1099.5</v>
      </c>
      <c r="I10" s="562">
        <f>F10+H10</f>
        <v>8429.5</v>
      </c>
      <c r="J10" s="271">
        <v>9100033030416</v>
      </c>
      <c r="K10" s="416">
        <f>+$I10*(1+'Unit tariffs'!$F$2)</f>
        <v>8909.9814999999999</v>
      </c>
      <c r="L10" s="417">
        <f>+$K10*(1+'Unit tariffs'!$F$2)</f>
        <v>9417.8504455000002</v>
      </c>
      <c r="M10" s="417">
        <f>+$L10*(1+'Unit tariffs'!$F$2)</f>
        <v>9954.6679208935002</v>
      </c>
      <c r="N10" s="781">
        <f>+$M10*(1+'Unit tariffs'!$F$2)</f>
        <v>10522.083992384429</v>
      </c>
      <c r="O10" s="779" t="s">
        <v>633</v>
      </c>
      <c r="P10" s="779" t="s">
        <v>633</v>
      </c>
      <c r="Q10" s="779" t="s">
        <v>633</v>
      </c>
    </row>
    <row r="11" spans="1:17" x14ac:dyDescent="0.35">
      <c r="A11" s="269"/>
      <c r="B11" s="221"/>
      <c r="C11" s="222"/>
      <c r="D11" s="521"/>
      <c r="E11" s="606"/>
      <c r="F11" s="379"/>
      <c r="G11" s="228"/>
      <c r="H11" s="228"/>
      <c r="I11" s="563"/>
      <c r="J11" s="272"/>
      <c r="K11" s="418"/>
      <c r="L11" s="419"/>
      <c r="M11" s="419"/>
      <c r="N11" s="782"/>
      <c r="O11" s="778"/>
      <c r="P11" s="778"/>
      <c r="Q11" s="778"/>
    </row>
    <row r="12" spans="1:17" ht="26" x14ac:dyDescent="0.35">
      <c r="A12" s="269"/>
      <c r="B12" s="221" t="str">
        <f>'New Conn'!B45</f>
        <v xml:space="preserve">1.2  Single phase overhead connection with Split Pre-payment meter taken from overhead network   - With Ready board   </v>
      </c>
      <c r="C12" s="222" t="s">
        <v>240</v>
      </c>
      <c r="D12" s="521">
        <f>'New Conn'!H79</f>
        <v>8770</v>
      </c>
      <c r="E12" s="606">
        <f t="shared" ref="E12:E75" si="0">D12*1.15</f>
        <v>10085.5</v>
      </c>
      <c r="F12" s="379">
        <f>'New Conn'!I79</f>
        <v>8710</v>
      </c>
      <c r="G12" s="228">
        <f>(F12-E12)/E12</f>
        <v>-0.13638391750532944</v>
      </c>
      <c r="H12" s="229">
        <f>F12*H$3</f>
        <v>1306.5</v>
      </c>
      <c r="I12" s="562">
        <f>F12+H12</f>
        <v>10016.5</v>
      </c>
      <c r="J12" s="271">
        <v>9100033030416</v>
      </c>
      <c r="K12" s="416">
        <f>+$I12*(1+'Unit tariffs'!$F$2)</f>
        <v>10587.440499999999</v>
      </c>
      <c r="L12" s="417">
        <f>+$K12*(1+'Unit tariffs'!$F$2)</f>
        <v>11190.924608499998</v>
      </c>
      <c r="M12" s="417">
        <f>+$L12*(1+'Unit tariffs'!$F$2)</f>
        <v>11828.807311184497</v>
      </c>
      <c r="N12" s="781">
        <f>+$M12*(1+'Unit tariffs'!$F$2)</f>
        <v>12503.049327922012</v>
      </c>
      <c r="O12" s="779" t="s">
        <v>633</v>
      </c>
      <c r="P12" s="779" t="s">
        <v>633</v>
      </c>
      <c r="Q12" s="779" t="s">
        <v>633</v>
      </c>
    </row>
    <row r="13" spans="1:17" x14ac:dyDescent="0.35">
      <c r="A13" s="269"/>
      <c r="B13" s="231"/>
      <c r="C13" s="232"/>
      <c r="D13" s="521"/>
      <c r="E13" s="606"/>
      <c r="F13" s="379"/>
      <c r="G13" s="228"/>
      <c r="H13" s="228"/>
      <c r="I13" s="563"/>
      <c r="J13" s="272"/>
      <c r="K13" s="418"/>
      <c r="L13" s="419"/>
      <c r="M13" s="419"/>
      <c r="N13" s="782"/>
      <c r="O13" s="778"/>
      <c r="P13" s="778"/>
      <c r="Q13" s="778"/>
    </row>
    <row r="14" spans="1:17" ht="26.5" customHeight="1" x14ac:dyDescent="0.35">
      <c r="A14" s="269"/>
      <c r="B14" s="221" t="str">
        <f>'New Conn'!B85</f>
        <v xml:space="preserve">1.3  Single phase underground/ovehead connection with Split Pre-payment meter taken from underground/overhead network (Flisp Housing)  - With Ready board   </v>
      </c>
      <c r="C14" s="677" t="s">
        <v>295</v>
      </c>
      <c r="D14" s="521">
        <f>'New Conn'!H116</f>
        <v>13760</v>
      </c>
      <c r="E14" s="606">
        <f t="shared" si="0"/>
        <v>15823.999999999998</v>
      </c>
      <c r="F14" s="379">
        <f>'New Conn'!I116</f>
        <v>13670</v>
      </c>
      <c r="G14" s="228">
        <f>(F14-E14)/E14</f>
        <v>-0.13612234580384217</v>
      </c>
      <c r="H14" s="229">
        <f>F14*H$3</f>
        <v>2050.5</v>
      </c>
      <c r="I14" s="562">
        <f>F14+H14</f>
        <v>15720.5</v>
      </c>
      <c r="J14" s="271">
        <v>9100033030416</v>
      </c>
      <c r="K14" s="416">
        <f>+$I14*(1+'Unit tariffs'!$F$2)</f>
        <v>16616.568499999998</v>
      </c>
      <c r="L14" s="417">
        <f>+$K14*(1+'Unit tariffs'!$F$2)</f>
        <v>17563.712904499997</v>
      </c>
      <c r="M14" s="417">
        <f>+$L14*(1+'Unit tariffs'!$F$2)</f>
        <v>18564.844540056496</v>
      </c>
      <c r="N14" s="781">
        <f>+$M14*(1+'Unit tariffs'!$F$2)</f>
        <v>19623.040678839716</v>
      </c>
      <c r="O14" s="779" t="s">
        <v>633</v>
      </c>
      <c r="P14" s="779" t="s">
        <v>633</v>
      </c>
      <c r="Q14" s="779" t="s">
        <v>633</v>
      </c>
    </row>
    <row r="15" spans="1:17" x14ac:dyDescent="0.35">
      <c r="A15" s="269"/>
      <c r="B15" s="231"/>
      <c r="C15" s="232"/>
      <c r="D15" s="521"/>
      <c r="E15" s="606"/>
      <c r="F15" s="379"/>
      <c r="G15" s="228"/>
      <c r="H15" s="228"/>
      <c r="I15" s="563"/>
      <c r="J15" s="272"/>
      <c r="K15" s="418"/>
      <c r="L15" s="419"/>
      <c r="M15" s="419"/>
      <c r="N15" s="782"/>
      <c r="O15" s="778"/>
      <c r="P15" s="778"/>
      <c r="Q15" s="778"/>
    </row>
    <row r="16" spans="1:17" ht="28.25" customHeight="1" x14ac:dyDescent="0.35">
      <c r="A16" s="269"/>
      <c r="B16" s="221" t="str">
        <f>'New Conn'!B120</f>
        <v>1.4  New connection (Permanent) for Church/ Creche with NPO certificate &amp; Proof of Title deeds paper registered with Church/Creche:  Single phase Split Prepaid  meter</v>
      </c>
      <c r="C16" s="222" t="s">
        <v>240</v>
      </c>
      <c r="D16" s="521">
        <f>'New Conn'!H150</f>
        <v>15240</v>
      </c>
      <c r="E16" s="606">
        <f t="shared" si="0"/>
        <v>17526</v>
      </c>
      <c r="F16" s="379">
        <f>'New Conn'!I150</f>
        <v>15140</v>
      </c>
      <c r="G16" s="228">
        <f>(F16-E16)/E16</f>
        <v>-0.13614059112176197</v>
      </c>
      <c r="H16" s="229">
        <f>F16*H$3</f>
        <v>2271</v>
      </c>
      <c r="I16" s="562">
        <f>F16+H16</f>
        <v>17411</v>
      </c>
      <c r="J16" s="271">
        <v>9100033030416</v>
      </c>
      <c r="K16" s="416">
        <f>+$I16*(1+'Unit tariffs'!$F$2)</f>
        <v>18403.427</v>
      </c>
      <c r="L16" s="417">
        <f>+$K16*(1+'Unit tariffs'!$F$2)</f>
        <v>19452.422338999997</v>
      </c>
      <c r="M16" s="417">
        <f>+$L16*(1+'Unit tariffs'!$F$2)</f>
        <v>20561.210412322995</v>
      </c>
      <c r="N16" s="781">
        <f>+$M16*(1+'Unit tariffs'!$F$2)</f>
        <v>21733.199405825406</v>
      </c>
      <c r="O16" s="779" t="s">
        <v>633</v>
      </c>
      <c r="P16" s="779" t="s">
        <v>633</v>
      </c>
      <c r="Q16" s="779" t="s">
        <v>633</v>
      </c>
    </row>
    <row r="17" spans="1:17" ht="19.5" customHeight="1" x14ac:dyDescent="0.35">
      <c r="A17" s="269"/>
      <c r="B17" s="221"/>
      <c r="C17" s="222"/>
      <c r="D17" s="521"/>
      <c r="E17" s="606"/>
      <c r="F17" s="379"/>
      <c r="G17" s="228"/>
      <c r="H17" s="229"/>
      <c r="I17" s="562"/>
      <c r="J17" s="271"/>
      <c r="K17" s="416"/>
      <c r="L17" s="417"/>
      <c r="M17" s="417"/>
      <c r="N17" s="781"/>
      <c r="O17" s="778"/>
      <c r="P17" s="778"/>
      <c r="Q17" s="778"/>
    </row>
    <row r="18" spans="1:17" ht="26" x14ac:dyDescent="0.35">
      <c r="A18" s="269"/>
      <c r="B18" s="233" t="str">
        <f>'New Conn'!B155</f>
        <v>1.5  Single phase domestic connection in meter box placed on stand boundary taken from underground cable network (Connection to an erf, where the development costs has been paid) -</v>
      </c>
      <c r="C18" s="222" t="s">
        <v>240</v>
      </c>
      <c r="D18" s="520"/>
      <c r="E18" s="606"/>
      <c r="F18" s="379"/>
      <c r="G18" s="228"/>
      <c r="H18" s="229"/>
      <c r="I18" s="562"/>
      <c r="J18" s="271"/>
      <c r="K18" s="416"/>
      <c r="L18" s="417"/>
      <c r="M18" s="417"/>
      <c r="N18" s="781"/>
      <c r="O18" s="778"/>
      <c r="P18" s="778"/>
      <c r="Q18" s="778"/>
    </row>
    <row r="19" spans="1:17" ht="32.4" customHeight="1" x14ac:dyDescent="0.35">
      <c r="A19" s="269"/>
      <c r="B19" s="233" t="str">
        <f>+'Calc Sheet 23_24'!B157:G157</f>
        <v xml:space="preserve">    1.5.1 Connection in meter box, Single Phase Time of Use kWh meter</v>
      </c>
      <c r="C19" s="222" t="s">
        <v>240</v>
      </c>
      <c r="D19" s="521">
        <f>'New Conn'!H185</f>
        <v>8560</v>
      </c>
      <c r="E19" s="606">
        <f t="shared" si="0"/>
        <v>9844</v>
      </c>
      <c r="F19" s="379">
        <f>'New Conn'!I185</f>
        <v>8510</v>
      </c>
      <c r="G19" s="228">
        <f>(F19-E19)/E19</f>
        <v>-0.13551401869158877</v>
      </c>
      <c r="H19" s="229">
        <f>F19*H$3</f>
        <v>1276.5</v>
      </c>
      <c r="I19" s="562">
        <f>F19+H19</f>
        <v>9786.5</v>
      </c>
      <c r="J19" s="271">
        <v>9100033030416</v>
      </c>
      <c r="K19" s="416">
        <f>+$I19*(1+'Unit tariffs'!$F$2)</f>
        <v>10344.3305</v>
      </c>
      <c r="L19" s="417">
        <f>+$K19*(1+'Unit tariffs'!$F$2)</f>
        <v>10933.957338499999</v>
      </c>
      <c r="M19" s="417">
        <f>+$L19*(1+'Unit tariffs'!$F$2)</f>
        <v>11557.192906794498</v>
      </c>
      <c r="N19" s="781">
        <f>+$M19*(1+'Unit tariffs'!$F$2)</f>
        <v>12215.952902481784</v>
      </c>
      <c r="O19" s="779" t="s">
        <v>633</v>
      </c>
      <c r="P19" s="779" t="s">
        <v>633</v>
      </c>
      <c r="Q19" s="779" t="s">
        <v>633</v>
      </c>
    </row>
    <row r="20" spans="1:17" ht="32.4" customHeight="1" x14ac:dyDescent="0.35">
      <c r="A20" s="269"/>
      <c r="B20" s="233" t="str">
        <f>'New Conn'!B190</f>
        <v xml:space="preserve">    1.5.2 Connection in meter box, Single phase Split pre-payment meter</v>
      </c>
      <c r="C20" s="222" t="s">
        <v>240</v>
      </c>
      <c r="D20" s="521">
        <f>'New Conn'!H215</f>
        <v>4950</v>
      </c>
      <c r="E20" s="606">
        <f t="shared" si="0"/>
        <v>5692.5</v>
      </c>
      <c r="F20" s="379">
        <f>'New Conn'!I215</f>
        <v>4930</v>
      </c>
      <c r="G20" s="228">
        <f>(F20-E20)/E20</f>
        <v>-0.1339481774264383</v>
      </c>
      <c r="H20" s="229">
        <f>F20*H$3</f>
        <v>739.5</v>
      </c>
      <c r="I20" s="562">
        <f>F20+H20</f>
        <v>5669.5</v>
      </c>
      <c r="J20" s="271">
        <v>9100033030416</v>
      </c>
      <c r="K20" s="416">
        <f>+$I20*(1+'Unit tariffs'!$F$2)</f>
        <v>5992.6614999999993</v>
      </c>
      <c r="L20" s="417">
        <f>+$K20*(1+'Unit tariffs'!$F$2)</f>
        <v>6334.243205499999</v>
      </c>
      <c r="M20" s="417">
        <f>+$L20*(1+'Unit tariffs'!$F$2)</f>
        <v>6695.2950682134988</v>
      </c>
      <c r="N20" s="781">
        <f>+$M20*(1+'Unit tariffs'!$F$2)</f>
        <v>7076.9268871016675</v>
      </c>
      <c r="O20" s="779" t="s">
        <v>633</v>
      </c>
      <c r="P20" s="779" t="s">
        <v>633</v>
      </c>
      <c r="Q20" s="779" t="s">
        <v>633</v>
      </c>
    </row>
    <row r="21" spans="1:17" ht="31.5" customHeight="1" x14ac:dyDescent="0.35">
      <c r="A21" s="269"/>
      <c r="B21" s="221" t="str">
        <f>'New Conn'!B221</f>
        <v>1.6 Single phase Pre-payment meters for areas that are fully subsidised. (Grants from different departments, e.g USDG, etc)</v>
      </c>
      <c r="C21" s="514" t="s">
        <v>240</v>
      </c>
      <c r="D21" s="521">
        <f>'New Conn'!H247</f>
        <v>1010</v>
      </c>
      <c r="E21" s="606">
        <f t="shared" si="0"/>
        <v>1161.5</v>
      </c>
      <c r="F21" s="379">
        <f>'New Conn'!I247</f>
        <v>1000</v>
      </c>
      <c r="G21" s="228">
        <f>(F21-E21)/E21</f>
        <v>-0.13904433921653034</v>
      </c>
      <c r="H21" s="229">
        <f>F21*H$3</f>
        <v>150</v>
      </c>
      <c r="I21" s="562">
        <f>F21+H21</f>
        <v>1150</v>
      </c>
      <c r="J21" s="271">
        <v>9100033030416</v>
      </c>
      <c r="K21" s="416">
        <f>+$I21*(1+'Unit tariffs'!$F$2)</f>
        <v>1215.55</v>
      </c>
      <c r="L21" s="417">
        <f>+$K21*(1+'Unit tariffs'!$F$2)</f>
        <v>1284.8363499999998</v>
      </c>
      <c r="M21" s="417">
        <f>+$L21*(1+'Unit tariffs'!$F$2)</f>
        <v>1358.0720219499997</v>
      </c>
      <c r="N21" s="781">
        <f>+$M21*(1+'Unit tariffs'!$F$2)</f>
        <v>1435.4821272011495</v>
      </c>
      <c r="O21" s="779" t="s">
        <v>633</v>
      </c>
      <c r="P21" s="779" t="s">
        <v>633</v>
      </c>
      <c r="Q21" s="779" t="s">
        <v>633</v>
      </c>
    </row>
    <row r="22" spans="1:17" x14ac:dyDescent="0.35">
      <c r="A22" s="269"/>
      <c r="B22" s="234"/>
      <c r="C22" s="222"/>
      <c r="D22" s="522"/>
      <c r="E22" s="606"/>
      <c r="F22" s="379"/>
      <c r="G22" s="228"/>
      <c r="H22" s="229"/>
      <c r="I22" s="562"/>
      <c r="J22" s="271"/>
      <c r="K22" s="416"/>
      <c r="L22" s="417"/>
      <c r="M22" s="417"/>
      <c r="N22" s="781"/>
      <c r="O22" s="778"/>
      <c r="P22" s="778"/>
      <c r="Q22" s="778"/>
    </row>
    <row r="23" spans="1:17" ht="20.25" customHeight="1" x14ac:dyDescent="0.35">
      <c r="A23" s="269"/>
      <c r="B23" s="227" t="str">
        <f>'New Conn'!B254</f>
        <v xml:space="preserve">1.7  Subdivision  (Domestic): </v>
      </c>
      <c r="C23" s="222"/>
      <c r="D23" s="521"/>
      <c r="E23" s="606"/>
      <c r="F23" s="379"/>
      <c r="G23" s="228"/>
      <c r="H23" s="229"/>
      <c r="I23" s="562"/>
      <c r="J23" s="271"/>
      <c r="K23" s="416"/>
      <c r="L23" s="417"/>
      <c r="M23" s="417"/>
      <c r="N23" s="781"/>
      <c r="O23" s="778"/>
      <c r="P23" s="778"/>
      <c r="Q23" s="778"/>
    </row>
    <row r="24" spans="1:17" ht="30.75" customHeight="1" x14ac:dyDescent="0.35">
      <c r="A24" s="269"/>
      <c r="B24" s="221" t="str">
        <f>'New Conn'!B256</f>
        <v xml:space="preserve">    1.7.1 Subdivision Urban Area:  A new Single Phase Split pre-payment meter for domestic connection </v>
      </c>
      <c r="C24" s="222" t="s">
        <v>240</v>
      </c>
      <c r="D24" s="521">
        <f>'New Conn'!H287</f>
        <v>28540</v>
      </c>
      <c r="E24" s="606">
        <f t="shared" si="0"/>
        <v>32821</v>
      </c>
      <c r="F24" s="379">
        <f>'New Conn'!I287</f>
        <v>28360</v>
      </c>
      <c r="G24" s="228">
        <f>(F24-E24)/E24</f>
        <v>-0.13591907620121263</v>
      </c>
      <c r="H24" s="229">
        <f>F24*H$3</f>
        <v>4254</v>
      </c>
      <c r="I24" s="562">
        <f>F24+H24</f>
        <v>32614</v>
      </c>
      <c r="J24" s="271">
        <v>9100033030416</v>
      </c>
      <c r="K24" s="416">
        <f>+$I24*(1+'Unit tariffs'!$F$2)</f>
        <v>34472.998</v>
      </c>
      <c r="L24" s="417">
        <f>+$K24*(1+'Unit tariffs'!$F$2)</f>
        <v>36437.958886</v>
      </c>
      <c r="M24" s="417">
        <f>+$L24*(1+'Unit tariffs'!$F$2)</f>
        <v>38514.922542501998</v>
      </c>
      <c r="N24" s="781">
        <f>+$M24*(1+'Unit tariffs'!$F$2)</f>
        <v>40710.273127424611</v>
      </c>
      <c r="O24" s="779" t="s">
        <v>633</v>
      </c>
      <c r="P24" s="779" t="s">
        <v>633</v>
      </c>
      <c r="Q24" s="779" t="s">
        <v>633</v>
      </c>
    </row>
    <row r="25" spans="1:17" ht="25.75" customHeight="1" x14ac:dyDescent="0.35">
      <c r="A25" s="269"/>
      <c r="B25" s="221" t="str">
        <f>'New Conn'!B292</f>
        <v xml:space="preserve">    1.7.2  Subdivision Pri Urban Area:  New Single Phase Split pre-payment meter connection in existing 11kV overhead line or  where 11kV overhead line needs to be    exteded up to 350m.</v>
      </c>
      <c r="C25" s="688" t="str">
        <f>'New Conn'!H292</f>
        <v xml:space="preserve">  [Mangaung - peri urban]</v>
      </c>
      <c r="D25" s="523">
        <f>'New Conn'!H323</f>
        <v>30890</v>
      </c>
      <c r="E25" s="606">
        <f t="shared" si="0"/>
        <v>35523.5</v>
      </c>
      <c r="F25" s="380">
        <f>'New Conn'!I323</f>
        <v>30690</v>
      </c>
      <c r="G25" s="228">
        <f t="shared" ref="G25:G87" si="1">(F25-E25)/E25</f>
        <v>-0.13606485847396793</v>
      </c>
      <c r="H25" s="229">
        <f t="shared" ref="H25:H87" si="2">F25*H$3</f>
        <v>4603.5</v>
      </c>
      <c r="I25" s="562">
        <f t="shared" ref="I25:I87" si="3">F25+H25</f>
        <v>35293.5</v>
      </c>
      <c r="J25" s="271">
        <v>9100033030417</v>
      </c>
      <c r="K25" s="416">
        <f>+$I25*(1+'Unit tariffs'!$F$2)</f>
        <v>37305.229500000001</v>
      </c>
      <c r="L25" s="417">
        <f>+$K25*(1+'Unit tariffs'!$F$2)</f>
        <v>39431.627581499997</v>
      </c>
      <c r="M25" s="417">
        <f>+$L25*(1+'Unit tariffs'!$F$2)</f>
        <v>41679.230353645493</v>
      </c>
      <c r="N25" s="781">
        <f>+$M25*(1+'Unit tariffs'!$F$2)</f>
        <v>44054.94648380328</v>
      </c>
      <c r="O25" s="778"/>
      <c r="P25" s="778"/>
      <c r="Q25" s="778"/>
    </row>
    <row r="26" spans="1:17" ht="36.25" customHeight="1" x14ac:dyDescent="0.35">
      <c r="A26" s="269"/>
      <c r="B26" s="221" t="str">
        <f>'New Conn'!B328</f>
        <v>1.7.3  Subdivision Pri Urban Area:  New Single Phase Split pre-payment meter connection in existing 11kV overhead line or  where 11kV overhead line needs to be exteded up to 350m.</v>
      </c>
      <c r="C26" s="222" t="str">
        <f>'New Conn'!H328</f>
        <v xml:space="preserve">  [Regional - peri urban]</v>
      </c>
      <c r="D26" s="523">
        <f>'New Conn'!H358</f>
        <v>22770</v>
      </c>
      <c r="E26" s="606">
        <f t="shared" si="0"/>
        <v>26185.499999999996</v>
      </c>
      <c r="F26" s="380">
        <f>'New Conn'!I358</f>
        <v>22620</v>
      </c>
      <c r="G26" s="228">
        <f t="shared" si="1"/>
        <v>-0.13616314372458027</v>
      </c>
      <c r="H26" s="229">
        <f t="shared" si="2"/>
        <v>3393</v>
      </c>
      <c r="I26" s="562">
        <f t="shared" si="3"/>
        <v>26013</v>
      </c>
      <c r="J26" s="271">
        <v>9100033030418</v>
      </c>
      <c r="K26" s="416">
        <f>+$I26*(1+'Unit tariffs'!$F$2)</f>
        <v>27495.740999999998</v>
      </c>
      <c r="L26" s="417">
        <f>+$K26*(1+'Unit tariffs'!$F$2)</f>
        <v>29062.998236999996</v>
      </c>
      <c r="M26" s="417">
        <f>+$L26*(1+'Unit tariffs'!$F$2)</f>
        <v>30719.589136508996</v>
      </c>
      <c r="N26" s="781">
        <f>+$M26*(1+'Unit tariffs'!$F$2)</f>
        <v>32470.605717290007</v>
      </c>
      <c r="O26" s="778"/>
      <c r="P26" s="778"/>
      <c r="Q26" s="778"/>
    </row>
    <row r="27" spans="1:17" ht="29.5" customHeight="1" x14ac:dyDescent="0.35">
      <c r="A27" s="269"/>
      <c r="B27" s="221" t="str">
        <f>'New Conn'!B364</f>
        <v xml:space="preserve"> 1.7.4 Subdivision Peri Urban Area:  New Three Split pre-payment meter connection on the stand boundary, where 11kV overhead line needs to be exteded up to 350m at ADMD = 7,5KVA</v>
      </c>
      <c r="C27" s="222"/>
      <c r="D27" s="523" t="str">
        <f>'New Conn'!H366</f>
        <v>Actual estimated cost plus network contribution for 7.5kVA</v>
      </c>
      <c r="E27" s="606" t="str">
        <f>'New Conn'!I366</f>
        <v>Actual estimated cost plus network contribution for 7.5kVA</v>
      </c>
      <c r="F27" s="380" t="str">
        <f>'New Conn'!I366</f>
        <v>Actual estimated cost plus network contribution for 7.5kVA</v>
      </c>
      <c r="G27" s="228"/>
      <c r="H27" s="229"/>
      <c r="I27" s="562"/>
      <c r="J27" s="271"/>
      <c r="K27" s="416"/>
      <c r="L27" s="417"/>
      <c r="M27" s="417"/>
      <c r="N27" s="781"/>
      <c r="O27" s="778"/>
      <c r="P27" s="778"/>
      <c r="Q27" s="778"/>
    </row>
    <row r="28" spans="1:17" x14ac:dyDescent="0.35">
      <c r="A28" s="269"/>
      <c r="B28" s="221"/>
      <c r="C28" s="222"/>
      <c r="D28" s="523"/>
      <c r="E28" s="606"/>
      <c r="F28" s="380"/>
      <c r="G28" s="228"/>
      <c r="H28" s="229"/>
      <c r="I28" s="562"/>
      <c r="J28" s="271"/>
      <c r="K28" s="416"/>
      <c r="L28" s="417"/>
      <c r="M28" s="417"/>
      <c r="N28" s="781"/>
      <c r="O28" s="778"/>
      <c r="P28" s="778"/>
      <c r="Q28" s="778"/>
    </row>
    <row r="29" spans="1:17" ht="25" x14ac:dyDescent="0.35">
      <c r="A29" s="269"/>
      <c r="B29" s="830" t="str">
        <f>'New Conn'!B373</f>
        <v>1.8  SSEG Single Phase Time of Use kWh meter (Connection to an erf, where the development costs has been paid)</v>
      </c>
      <c r="C29" s="222" t="str">
        <f>'New Conn'!H373</f>
        <v>Peri/Urban area</v>
      </c>
      <c r="D29" s="523">
        <f>'New Conn'!H401</f>
        <v>8560</v>
      </c>
      <c r="E29" s="606">
        <f t="shared" si="0"/>
        <v>9844</v>
      </c>
      <c r="F29" s="380">
        <f>'New Conn'!I401</f>
        <v>8510</v>
      </c>
      <c r="G29" s="228">
        <f t="shared" si="1"/>
        <v>-0.13551401869158877</v>
      </c>
      <c r="H29" s="229">
        <f t="shared" si="2"/>
        <v>1276.5</v>
      </c>
      <c r="I29" s="562">
        <f t="shared" si="3"/>
        <v>9786.5</v>
      </c>
      <c r="J29" s="271">
        <v>9100033030421</v>
      </c>
      <c r="K29" s="416">
        <f>+$I29*(1+'Unit tariffs'!$F$2)</f>
        <v>10344.3305</v>
      </c>
      <c r="L29" s="417">
        <f>+$K29*(1+'Unit tariffs'!$F$2)</f>
        <v>10933.957338499999</v>
      </c>
      <c r="M29" s="417">
        <f>+$L29*(1+'Unit tariffs'!$F$2)</f>
        <v>11557.192906794498</v>
      </c>
      <c r="N29" s="781">
        <f>+$M29*(1+'Unit tariffs'!$F$2)</f>
        <v>12215.952902481784</v>
      </c>
      <c r="O29" s="778"/>
      <c r="P29" s="778"/>
      <c r="Q29" s="778"/>
    </row>
    <row r="30" spans="1:17" x14ac:dyDescent="0.35">
      <c r="A30" s="269"/>
      <c r="B30" s="221"/>
      <c r="C30" s="222"/>
      <c r="D30" s="523"/>
      <c r="E30" s="606"/>
      <c r="F30" s="380"/>
      <c r="G30" s="228"/>
      <c r="H30" s="229"/>
      <c r="I30" s="562"/>
      <c r="J30" s="271"/>
      <c r="K30" s="416"/>
      <c r="L30" s="417"/>
      <c r="M30" s="417"/>
      <c r="N30" s="781"/>
      <c r="O30" s="778"/>
      <c r="P30" s="778"/>
      <c r="Q30" s="778"/>
    </row>
    <row r="31" spans="1:17" ht="37.5" hidden="1" x14ac:dyDescent="0.35">
      <c r="A31" s="269"/>
      <c r="B31" s="830" t="str">
        <f>'New Conn'!B406</f>
        <v>1.9 Single phase Peri-Urban domestic connection with TOU kWh meter.  Supplied by 25kVA single phase transformer (80A) from 11kV overhead line   (where an 11kV line exists and is within the first 350m)</v>
      </c>
      <c r="C31" s="222" t="str">
        <f>'New Conn'!H406</f>
        <v xml:space="preserve">  [Mangaung - peri urban area]</v>
      </c>
      <c r="D31" s="523">
        <f>'New Conn'!H436</f>
        <v>31400</v>
      </c>
      <c r="E31" s="606">
        <f t="shared" si="0"/>
        <v>36110</v>
      </c>
      <c r="F31" s="380">
        <f>'New Conn'!I436</f>
        <v>31210</v>
      </c>
      <c r="G31" s="228">
        <f t="shared" si="1"/>
        <v>-0.13569648296870673</v>
      </c>
      <c r="H31" s="229">
        <f t="shared" si="2"/>
        <v>4681.5</v>
      </c>
      <c r="I31" s="562">
        <f t="shared" si="3"/>
        <v>35891.5</v>
      </c>
      <c r="J31" s="271">
        <v>9100033030423</v>
      </c>
      <c r="K31" s="416">
        <f>+$I31*(1+'Unit tariffs'!$F$2)</f>
        <v>37937.315499999997</v>
      </c>
      <c r="L31" s="417">
        <f>+$K31*(1+'Unit tariffs'!$F$2)</f>
        <v>40099.742483499991</v>
      </c>
      <c r="M31" s="417">
        <f>+$L31*(1+'Unit tariffs'!$F$2)</f>
        <v>42385.427805059488</v>
      </c>
      <c r="N31" s="781">
        <f>+$M31*(1+'Unit tariffs'!$F$2)</f>
        <v>44801.397189947878</v>
      </c>
      <c r="O31" s="778"/>
      <c r="P31" s="778"/>
      <c r="Q31" s="778"/>
    </row>
    <row r="32" spans="1:17" x14ac:dyDescent="0.35">
      <c r="A32" s="269"/>
      <c r="B32" s="221"/>
      <c r="C32" s="222"/>
      <c r="D32" s="523"/>
      <c r="E32" s="606"/>
      <c r="F32" s="380"/>
      <c r="G32" s="228"/>
      <c r="H32" s="229"/>
      <c r="I32" s="562"/>
      <c r="J32" s="271"/>
      <c r="K32" s="416"/>
      <c r="L32" s="417"/>
      <c r="M32" s="417"/>
      <c r="N32" s="781"/>
      <c r="O32" s="778"/>
      <c r="P32" s="778"/>
      <c r="Q32" s="778"/>
    </row>
    <row r="33" spans="1:17" ht="37.5" x14ac:dyDescent="0.35">
      <c r="A33" s="269"/>
      <c r="B33" s="830" t="str">
        <f>'New Conn'!B443</f>
        <v>1.10 Single phase Peri-Urban domestic connection - Prepayment meter. - Supplied by 25kVA single phase Trfr (80A) from 11kV overhead line   (where an 11kV line exists and is within the first 350m)</v>
      </c>
      <c r="C33" s="222" t="str">
        <f>'New Conn'!H443</f>
        <v xml:space="preserve">  [Regional - peri urban area]</v>
      </c>
      <c r="D33" s="523">
        <f>'New Conn'!H475</f>
        <v>24520</v>
      </c>
      <c r="E33" s="606">
        <f t="shared" si="0"/>
        <v>28197.999999999996</v>
      </c>
      <c r="F33" s="380">
        <f>'New Conn'!I475</f>
        <v>24370</v>
      </c>
      <c r="G33" s="228">
        <f t="shared" si="1"/>
        <v>-0.13575430881622799</v>
      </c>
      <c r="H33" s="229">
        <f t="shared" si="2"/>
        <v>3655.5</v>
      </c>
      <c r="I33" s="562">
        <f t="shared" si="3"/>
        <v>28025.5</v>
      </c>
      <c r="J33" s="271">
        <v>9100033030425</v>
      </c>
      <c r="K33" s="416">
        <f>+$I33*(1+'Unit tariffs'!$F$2)</f>
        <v>29622.9535</v>
      </c>
      <c r="L33" s="417">
        <f>+$K33*(1+'Unit tariffs'!$F$2)</f>
        <v>31311.4618495</v>
      </c>
      <c r="M33" s="417">
        <f>+$L33*(1+'Unit tariffs'!$F$2)</f>
        <v>33096.215174921497</v>
      </c>
      <c r="N33" s="781">
        <f>+$M33*(1+'Unit tariffs'!$F$2)</f>
        <v>34982.699439892021</v>
      </c>
      <c r="O33" s="778"/>
      <c r="P33" s="778"/>
      <c r="Q33" s="778"/>
    </row>
    <row r="34" spans="1:17" x14ac:dyDescent="0.35">
      <c r="A34" s="269"/>
      <c r="B34" s="221"/>
      <c r="C34" s="222"/>
      <c r="D34" s="523"/>
      <c r="E34" s="606"/>
      <c r="F34" s="380"/>
      <c r="G34" s="228"/>
      <c r="H34" s="229"/>
      <c r="I34" s="562"/>
      <c r="J34" s="271"/>
      <c r="K34" s="416"/>
      <c r="L34" s="417"/>
      <c r="M34" s="417"/>
      <c r="N34" s="781"/>
      <c r="O34" s="778"/>
      <c r="P34" s="778"/>
      <c r="Q34" s="778"/>
    </row>
    <row r="35" spans="1:17" ht="25" x14ac:dyDescent="0.35">
      <c r="A35" s="269"/>
      <c r="B35" s="830" t="str">
        <f>'New Conn'!B483</f>
        <v>1.11  Additional  Meters Peri-Urban Area:  1x 1ph  Split pre-paid meter connection- limited up to 200kVA, LV per Erf. If more than one (1) meter is reuested, a cost estimate will be done.</v>
      </c>
      <c r="C35" s="222" t="str">
        <f>'New Conn'!H483</f>
        <v xml:space="preserve">  [Peri - urban area]</v>
      </c>
      <c r="D35" s="523">
        <f>'New Conn'!H508</f>
        <v>4160</v>
      </c>
      <c r="E35" s="606">
        <f t="shared" si="0"/>
        <v>4784</v>
      </c>
      <c r="F35" s="380">
        <f>'New Conn'!I508</f>
        <v>4140</v>
      </c>
      <c r="G35" s="228">
        <f t="shared" si="1"/>
        <v>-0.13461538461538461</v>
      </c>
      <c r="H35" s="229">
        <f t="shared" si="2"/>
        <v>621</v>
      </c>
      <c r="I35" s="562">
        <f t="shared" si="3"/>
        <v>4761</v>
      </c>
      <c r="J35" s="271">
        <v>9100033030427</v>
      </c>
      <c r="K35" s="416">
        <f>+$I35*(1+'Unit tariffs'!$F$2)</f>
        <v>5032.3769999999995</v>
      </c>
      <c r="L35" s="417">
        <f>+$K35*(1+'Unit tariffs'!$F$2)</f>
        <v>5319.2224889999989</v>
      </c>
      <c r="M35" s="417">
        <f>+$L35*(1+'Unit tariffs'!$F$2)</f>
        <v>5622.4181708729984</v>
      </c>
      <c r="N35" s="781">
        <f>+$M35*(1+'Unit tariffs'!$F$2)</f>
        <v>5942.8960066127593</v>
      </c>
      <c r="O35" s="778"/>
      <c r="P35" s="778"/>
      <c r="Q35" s="778"/>
    </row>
    <row r="36" spans="1:17" x14ac:dyDescent="0.35">
      <c r="A36" s="269"/>
      <c r="B36" s="221"/>
      <c r="C36" s="222"/>
      <c r="D36" s="523"/>
      <c r="E36" s="606"/>
      <c r="F36" s="380"/>
      <c r="G36" s="228"/>
      <c r="H36" s="229"/>
      <c r="I36" s="562"/>
      <c r="J36" s="271"/>
      <c r="K36" s="416"/>
      <c r="L36" s="417"/>
      <c r="M36" s="417"/>
      <c r="N36" s="781"/>
      <c r="O36" s="778"/>
      <c r="P36" s="778"/>
      <c r="Q36" s="778"/>
    </row>
    <row r="37" spans="1:17" ht="25" x14ac:dyDescent="0.35">
      <c r="A37" s="269"/>
      <c r="B37" s="830" t="str">
        <f>'New Conn'!B514</f>
        <v>1.12  Additional  Meters Urban Area:  1x 1ph  Split pre-paid meter connection- limited up to 500kVA, LV per Erf. If more than one (1) meter is reuested, a cost estimate will be done.</v>
      </c>
      <c r="C37" s="222" t="str">
        <f>'New Conn'!H514</f>
        <v xml:space="preserve">  [Urban area]</v>
      </c>
      <c r="D37" s="523">
        <f>'New Conn'!H536</f>
        <v>2940</v>
      </c>
      <c r="E37" s="606">
        <f t="shared" si="0"/>
        <v>3380.9999999999995</v>
      </c>
      <c r="F37" s="380">
        <f>'New Conn'!I536</f>
        <v>2930</v>
      </c>
      <c r="G37" s="228">
        <f t="shared" si="1"/>
        <v>-0.1333924874297544</v>
      </c>
      <c r="H37" s="229">
        <f t="shared" si="2"/>
        <v>439.5</v>
      </c>
      <c r="I37" s="562">
        <f t="shared" si="3"/>
        <v>3369.5</v>
      </c>
      <c r="J37" s="271">
        <v>9100033030429</v>
      </c>
      <c r="K37" s="416">
        <f>+$I37*(1+'Unit tariffs'!$F$2)</f>
        <v>3561.5614999999998</v>
      </c>
      <c r="L37" s="417">
        <f>+$K37*(1+'Unit tariffs'!$F$2)</f>
        <v>3764.5705054999994</v>
      </c>
      <c r="M37" s="417">
        <f>+$L37*(1+'Unit tariffs'!$F$2)</f>
        <v>3979.151024313499</v>
      </c>
      <c r="N37" s="781">
        <f>+$M37*(1+'Unit tariffs'!$F$2)</f>
        <v>4205.9626326993684</v>
      </c>
      <c r="O37" s="778"/>
      <c r="P37" s="778"/>
      <c r="Q37" s="778"/>
    </row>
    <row r="38" spans="1:17" x14ac:dyDescent="0.35">
      <c r="A38" s="269"/>
      <c r="B38" s="221"/>
      <c r="C38" s="222"/>
      <c r="D38" s="523"/>
      <c r="E38" s="606"/>
      <c r="F38" s="380"/>
      <c r="G38" s="228"/>
      <c r="H38" s="229"/>
      <c r="I38" s="562"/>
      <c r="J38" s="271"/>
      <c r="K38" s="416"/>
      <c r="L38" s="417"/>
      <c r="M38" s="417"/>
      <c r="N38" s="781"/>
      <c r="O38" s="778"/>
      <c r="P38" s="778"/>
      <c r="Q38" s="778"/>
    </row>
    <row r="39" spans="1:17" x14ac:dyDescent="0.35">
      <c r="A39" s="269"/>
      <c r="B39" s="227" t="str">
        <f>'New Conn'!B546</f>
        <v>2. NEW THREE PHASE DOMESTIC CONNECTIONS</v>
      </c>
      <c r="C39" s="222"/>
      <c r="D39" s="523"/>
      <c r="E39" s="606"/>
      <c r="F39" s="380"/>
      <c r="G39" s="228"/>
      <c r="H39" s="229"/>
      <c r="I39" s="562"/>
      <c r="J39" s="271"/>
      <c r="K39" s="416"/>
      <c r="L39" s="417"/>
      <c r="M39" s="417"/>
      <c r="N39" s="781"/>
      <c r="O39" s="778"/>
      <c r="P39" s="778"/>
      <c r="Q39" s="778"/>
    </row>
    <row r="40" spans="1:17" x14ac:dyDescent="0.35">
      <c r="A40" s="269"/>
      <c r="B40" s="221"/>
      <c r="C40" s="222"/>
      <c r="D40" s="523"/>
      <c r="E40" s="606"/>
      <c r="F40" s="380"/>
      <c r="G40" s="228"/>
      <c r="H40" s="229"/>
      <c r="I40" s="562"/>
      <c r="J40" s="271"/>
      <c r="K40" s="416"/>
      <c r="L40" s="417"/>
      <c r="M40" s="417"/>
      <c r="N40" s="781"/>
      <c r="O40" s="778"/>
      <c r="P40" s="778"/>
      <c r="Q40" s="778"/>
    </row>
    <row r="41" spans="1:17" ht="37.5" hidden="1" x14ac:dyDescent="0.35">
      <c r="A41" s="269"/>
      <c r="B41" s="830" t="str">
        <f>'New Conn'!B549</f>
        <v>2.1 Three phase domestic connection (80A) in meter box,  Time of use (TOU) meter :  Connection in meter box placed on stand boundary (Connection to an erf, where the development costs has NOT been paid).</v>
      </c>
      <c r="C41" s="222" t="str">
        <f>'New Conn'!H549</f>
        <v xml:space="preserve"> [Mangaung - Urban]</v>
      </c>
      <c r="D41" s="523">
        <f>'New Conn'!H584</f>
        <v>30080</v>
      </c>
      <c r="E41" s="606">
        <f t="shared" si="0"/>
        <v>34592</v>
      </c>
      <c r="F41" s="380">
        <f>'New Conn'!I584</f>
        <v>29790</v>
      </c>
      <c r="G41" s="228">
        <f t="shared" si="1"/>
        <v>-0.13881822386679002</v>
      </c>
      <c r="H41" s="229">
        <f t="shared" si="2"/>
        <v>4468.5</v>
      </c>
      <c r="I41" s="562">
        <f t="shared" si="3"/>
        <v>34258.5</v>
      </c>
      <c r="J41" s="271">
        <v>9100033030433</v>
      </c>
      <c r="K41" s="416">
        <f>+$I41*(1+'Unit tariffs'!$F$2)</f>
        <v>36211.234499999999</v>
      </c>
      <c r="L41" s="417">
        <f>+$K41*(1+'Unit tariffs'!$F$2)</f>
        <v>38275.274866499996</v>
      </c>
      <c r="M41" s="417">
        <f>+$L41*(1+'Unit tariffs'!$F$2)</f>
        <v>40456.965533890492</v>
      </c>
      <c r="N41" s="781">
        <f>+$M41*(1+'Unit tariffs'!$F$2)</f>
        <v>42763.012569322251</v>
      </c>
      <c r="O41" s="778"/>
      <c r="P41" s="778"/>
      <c r="Q41" s="778"/>
    </row>
    <row r="42" spans="1:17" x14ac:dyDescent="0.35">
      <c r="A42" s="269"/>
      <c r="B42" s="221"/>
      <c r="C42" s="222"/>
      <c r="D42" s="523"/>
      <c r="E42" s="606"/>
      <c r="F42" s="380"/>
      <c r="G42" s="228"/>
      <c r="H42" s="229"/>
      <c r="I42" s="562"/>
      <c r="J42" s="271"/>
      <c r="K42" s="416"/>
      <c r="L42" s="417"/>
      <c r="M42" s="417"/>
      <c r="N42" s="781"/>
      <c r="O42" s="778"/>
      <c r="P42" s="778"/>
      <c r="Q42" s="778"/>
    </row>
    <row r="43" spans="1:17" ht="37.5" x14ac:dyDescent="0.35">
      <c r="A43" s="269"/>
      <c r="B43" s="830" t="str">
        <f>'New Conn'!B590</f>
        <v xml:space="preserve">2.2 Three phase domestic connection (80A) in meter box,  Time of use (TOU) meter :  Connection in meter box placed on stand boundary  (Connection to an erf, where the development costs has NOT been paid) .                                 </v>
      </c>
      <c r="C43" s="222" t="str">
        <f>'New Conn'!H590</f>
        <v xml:space="preserve">  [Regional - Urban]</v>
      </c>
      <c r="D43" s="523">
        <f>'New Conn'!H618</f>
        <v>18740</v>
      </c>
      <c r="E43" s="606">
        <f t="shared" si="0"/>
        <v>21551</v>
      </c>
      <c r="F43" s="380">
        <f>'New Conn'!I618</f>
        <v>17660</v>
      </c>
      <c r="G43" s="228">
        <f t="shared" si="1"/>
        <v>-0.180548466428472</v>
      </c>
      <c r="H43" s="229">
        <f t="shared" si="2"/>
        <v>2649</v>
      </c>
      <c r="I43" s="562">
        <f t="shared" si="3"/>
        <v>20309</v>
      </c>
      <c r="J43" s="271">
        <v>9100033030435</v>
      </c>
      <c r="K43" s="416">
        <f>+$I43*(1+'Unit tariffs'!$F$2)</f>
        <v>21466.612999999998</v>
      </c>
      <c r="L43" s="417">
        <f>+$K43*(1+'Unit tariffs'!$F$2)</f>
        <v>22690.209940999997</v>
      </c>
      <c r="M43" s="417">
        <f>+$L43*(1+'Unit tariffs'!$F$2)</f>
        <v>23983.551907636996</v>
      </c>
      <c r="N43" s="781">
        <f>+$M43*(1+'Unit tariffs'!$F$2)</f>
        <v>25350.614366372305</v>
      </c>
      <c r="O43" s="778"/>
      <c r="P43" s="778"/>
      <c r="Q43" s="778"/>
    </row>
    <row r="44" spans="1:17" x14ac:dyDescent="0.35">
      <c r="A44" s="269"/>
      <c r="B44" s="221"/>
      <c r="C44" s="222"/>
      <c r="D44" s="523"/>
      <c r="E44" s="606"/>
      <c r="F44" s="380"/>
      <c r="G44" s="228"/>
      <c r="H44" s="229"/>
      <c r="I44" s="562"/>
      <c r="J44" s="271"/>
      <c r="K44" s="416"/>
      <c r="L44" s="417"/>
      <c r="M44" s="417"/>
      <c r="N44" s="781"/>
      <c r="O44" s="778"/>
      <c r="P44" s="778"/>
      <c r="Q44" s="778"/>
    </row>
    <row r="45" spans="1:17" ht="37.5" hidden="1" x14ac:dyDescent="0.35">
      <c r="A45" s="269"/>
      <c r="B45" s="830" t="str">
        <f>'New Conn'!B626</f>
        <v>2.3 SSEG Three phase domestic connection (80A) in meter box,  Time of use (TOU) meter :  Connection in meter box placed on stand boundary . (Connection to an erf, where the development costs has NOT been paid).</v>
      </c>
      <c r="C45" s="222" t="str">
        <f>'New Conn'!H626</f>
        <v xml:space="preserve"> [Mangaung - Urban]</v>
      </c>
      <c r="D45" s="523">
        <f>'New Conn'!H661</f>
        <v>29710</v>
      </c>
      <c r="E45" s="606">
        <f t="shared" si="0"/>
        <v>34166.5</v>
      </c>
      <c r="F45" s="380">
        <f>'New Conn'!I661</f>
        <v>29420</v>
      </c>
      <c r="G45" s="228">
        <f t="shared" si="1"/>
        <v>-0.13892262889087265</v>
      </c>
      <c r="H45" s="229">
        <f t="shared" si="2"/>
        <v>4413</v>
      </c>
      <c r="I45" s="562">
        <f t="shared" si="3"/>
        <v>33833</v>
      </c>
      <c r="J45" s="271">
        <v>9100033030437</v>
      </c>
      <c r="K45" s="416">
        <f>+$I45*(1+'Unit tariffs'!$F$2)</f>
        <v>35761.481</v>
      </c>
      <c r="L45" s="417">
        <f>+$K45*(1+'Unit tariffs'!$F$2)</f>
        <v>37799.885416999998</v>
      </c>
      <c r="M45" s="417">
        <f>+$L45*(1+'Unit tariffs'!$F$2)</f>
        <v>39954.478885768993</v>
      </c>
      <c r="N45" s="781">
        <f>+$M45*(1+'Unit tariffs'!$F$2)</f>
        <v>42231.884182257825</v>
      </c>
      <c r="O45" s="778"/>
      <c r="P45" s="778"/>
      <c r="Q45" s="778"/>
    </row>
    <row r="46" spans="1:17" x14ac:dyDescent="0.35">
      <c r="A46" s="269"/>
      <c r="B46" s="221"/>
      <c r="C46" s="222"/>
      <c r="D46" s="523"/>
      <c r="E46" s="606"/>
      <c r="F46" s="380"/>
      <c r="G46" s="228"/>
      <c r="H46" s="229"/>
      <c r="I46" s="562"/>
      <c r="J46" s="271"/>
      <c r="K46" s="416"/>
      <c r="L46" s="417"/>
      <c r="M46" s="417"/>
      <c r="N46" s="781"/>
      <c r="O46" s="778"/>
      <c r="P46" s="778"/>
      <c r="Q46" s="778"/>
    </row>
    <row r="47" spans="1:17" ht="38.5" x14ac:dyDescent="0.35">
      <c r="A47" s="269"/>
      <c r="B47" s="221" t="str">
        <f>'New Conn'!B667</f>
        <v xml:space="preserve">2.4 SSEG Three phase domestic connection (80A) in meter box,  Time of use (TOU) meter :  Connection in meter box placed on stand boundary taken from (Connection to an erf, where the development costs has NOT been paid).                                    </v>
      </c>
      <c r="C47" s="222" t="str">
        <f>'New Conn'!H667</f>
        <v xml:space="preserve">  [Regional -  Urban area]</v>
      </c>
      <c r="D47" s="523">
        <f>'New Conn'!H695</f>
        <v>20460</v>
      </c>
      <c r="E47" s="606">
        <f t="shared" si="0"/>
        <v>23529</v>
      </c>
      <c r="F47" s="380">
        <f>'New Conn'!I695</f>
        <v>18840</v>
      </c>
      <c r="G47" s="228">
        <f t="shared" si="1"/>
        <v>-0.19928598750478133</v>
      </c>
      <c r="H47" s="229">
        <f t="shared" si="2"/>
        <v>2826</v>
      </c>
      <c r="I47" s="562">
        <f t="shared" si="3"/>
        <v>21666</v>
      </c>
      <c r="J47" s="271">
        <v>9100033030439</v>
      </c>
      <c r="K47" s="416">
        <f>+$I47*(1+'Unit tariffs'!$F$2)</f>
        <v>22900.962</v>
      </c>
      <c r="L47" s="417">
        <f>+$K47*(1+'Unit tariffs'!$F$2)</f>
        <v>24206.316833999997</v>
      </c>
      <c r="M47" s="417">
        <f>+$L47*(1+'Unit tariffs'!$F$2)</f>
        <v>25586.076893537997</v>
      </c>
      <c r="N47" s="781">
        <f>+$M47*(1+'Unit tariffs'!$F$2)</f>
        <v>27044.483276469662</v>
      </c>
      <c r="O47" s="778"/>
      <c r="P47" s="778"/>
      <c r="Q47" s="778"/>
    </row>
    <row r="48" spans="1:17" x14ac:dyDescent="0.35">
      <c r="A48" s="269"/>
      <c r="B48" s="830"/>
      <c r="C48" s="222"/>
      <c r="D48" s="523"/>
      <c r="E48" s="606"/>
      <c r="F48" s="380"/>
      <c r="G48" s="228"/>
      <c r="H48" s="229"/>
      <c r="I48" s="562"/>
      <c r="J48" s="271"/>
      <c r="K48" s="416"/>
      <c r="L48" s="417"/>
      <c r="M48" s="417"/>
      <c r="N48" s="781"/>
      <c r="O48" s="778"/>
      <c r="P48" s="778"/>
      <c r="Q48" s="778"/>
    </row>
    <row r="49" spans="1:17" ht="25" hidden="1" x14ac:dyDescent="0.35">
      <c r="A49" s="269"/>
      <c r="B49" s="830" t="str">
        <f>'New Conn'!B700</f>
        <v>2.5 Three phase domestic connection in meter box, Split pre-payment meter (Connection to an erf, where the development costs has NOT been paid)</v>
      </c>
      <c r="C49" s="222" t="str">
        <f>'New Conn'!H700</f>
        <v xml:space="preserve">  [Mangaung - Urban]</v>
      </c>
      <c r="D49" s="523">
        <f>'New Conn'!H735</f>
        <v>30270</v>
      </c>
      <c r="E49" s="606">
        <f t="shared" si="0"/>
        <v>34810.5</v>
      </c>
      <c r="F49" s="380">
        <f>'New Conn'!I735</f>
        <v>30270</v>
      </c>
      <c r="G49" s="228">
        <f t="shared" si="1"/>
        <v>-0.13043478260869565</v>
      </c>
      <c r="H49" s="229">
        <f t="shared" si="2"/>
        <v>4540.5</v>
      </c>
      <c r="I49" s="562">
        <f t="shared" si="3"/>
        <v>34810.5</v>
      </c>
      <c r="J49" s="271">
        <v>9100033030441</v>
      </c>
      <c r="K49" s="416">
        <f>+$I49*(1+'Unit tariffs'!$F$2)</f>
        <v>36794.698499999999</v>
      </c>
      <c r="L49" s="417">
        <f>+$K49*(1+'Unit tariffs'!$F$2)</f>
        <v>38891.996314499993</v>
      </c>
      <c r="M49" s="417">
        <f>+$L49*(1+'Unit tariffs'!$F$2)</f>
        <v>41108.84010442649</v>
      </c>
      <c r="N49" s="781">
        <f>+$M49*(1+'Unit tariffs'!$F$2)</f>
        <v>43452.043990378799</v>
      </c>
      <c r="O49" s="778"/>
      <c r="P49" s="778"/>
      <c r="Q49" s="778"/>
    </row>
    <row r="50" spans="1:17" x14ac:dyDescent="0.35">
      <c r="A50" s="269"/>
      <c r="B50" s="221"/>
      <c r="C50" s="222"/>
      <c r="D50" s="523"/>
      <c r="E50" s="606"/>
      <c r="F50" s="380"/>
      <c r="G50" s="228"/>
      <c r="H50" s="229"/>
      <c r="I50" s="562"/>
      <c r="J50" s="271"/>
      <c r="K50" s="416"/>
      <c r="L50" s="417"/>
      <c r="M50" s="417"/>
      <c r="N50" s="781"/>
      <c r="O50" s="778"/>
      <c r="P50" s="778"/>
      <c r="Q50" s="778"/>
    </row>
    <row r="51" spans="1:17" ht="25" x14ac:dyDescent="0.35">
      <c r="A51" s="269"/>
      <c r="B51" s="830" t="str">
        <f>'New Conn'!B742</f>
        <v>2.6 Three phase domestic connection in meter box, Split pre-payment meter. (Connection to an erf, where the development costs has NOT been paid)</v>
      </c>
      <c r="C51" s="222" t="str">
        <f>'New Conn'!H742</f>
        <v xml:space="preserve">  [Regional - Urban]</v>
      </c>
      <c r="D51" s="523">
        <f>'New Conn'!H773</f>
        <v>18420</v>
      </c>
      <c r="E51" s="606">
        <f t="shared" si="0"/>
        <v>21183</v>
      </c>
      <c r="F51" s="380">
        <f>'New Conn'!I773</f>
        <v>18420</v>
      </c>
      <c r="G51" s="228">
        <f t="shared" si="1"/>
        <v>-0.13043478260869565</v>
      </c>
      <c r="H51" s="229">
        <f t="shared" si="2"/>
        <v>2763</v>
      </c>
      <c r="I51" s="562">
        <f t="shared" si="3"/>
        <v>21183</v>
      </c>
      <c r="J51" s="271">
        <v>9100033030443</v>
      </c>
      <c r="K51" s="416">
        <f>+$I51*(1+'Unit tariffs'!$F$2)</f>
        <v>22390.431</v>
      </c>
      <c r="L51" s="417">
        <f>+$K51*(1+'Unit tariffs'!$F$2)</f>
        <v>23666.685567</v>
      </c>
      <c r="M51" s="417">
        <f>+$L51*(1+'Unit tariffs'!$F$2)</f>
        <v>25015.686644318997</v>
      </c>
      <c r="N51" s="781">
        <f>+$M51*(1+'Unit tariffs'!$F$2)</f>
        <v>26441.580783045178</v>
      </c>
      <c r="O51" s="778"/>
      <c r="P51" s="778"/>
      <c r="Q51" s="778"/>
    </row>
    <row r="52" spans="1:17" x14ac:dyDescent="0.35">
      <c r="A52" s="269"/>
      <c r="B52" s="221"/>
      <c r="C52" s="222"/>
      <c r="D52" s="523"/>
      <c r="E52" s="606"/>
      <c r="F52" s="380"/>
      <c r="G52" s="228"/>
      <c r="H52" s="229"/>
      <c r="I52" s="562"/>
      <c r="J52" s="271"/>
      <c r="K52" s="416"/>
      <c r="L52" s="417"/>
      <c r="M52" s="417"/>
      <c r="N52" s="781"/>
      <c r="O52" s="778"/>
      <c r="P52" s="778"/>
      <c r="Q52" s="778"/>
    </row>
    <row r="53" spans="1:17" ht="37.5" hidden="1" x14ac:dyDescent="0.35">
      <c r="A53" s="269"/>
      <c r="B53" s="830" t="str">
        <f>'New Conn'!B776</f>
        <v>2.7 Three phase domestic connection (80A) in meter box,  Time of use (TOU) meter :  Connection in meter box placed on stand boundary (Connection to an erf, where the development costs has been paid [5kVA]).</v>
      </c>
      <c r="C53" s="222" t="str">
        <f>'New Conn'!H776</f>
        <v xml:space="preserve"> [Mangaung - Urban]</v>
      </c>
      <c r="D53" s="523">
        <f>'New Conn'!H811</f>
        <v>11890</v>
      </c>
      <c r="E53" s="606">
        <f t="shared" si="0"/>
        <v>13673.499999999998</v>
      </c>
      <c r="F53" s="380">
        <f>'New Conn'!I811</f>
        <v>11890</v>
      </c>
      <c r="G53" s="228">
        <f t="shared" si="1"/>
        <v>-0.13043478260869554</v>
      </c>
      <c r="H53" s="229">
        <f t="shared" si="2"/>
        <v>1783.5</v>
      </c>
      <c r="I53" s="562">
        <f t="shared" si="3"/>
        <v>13673.5</v>
      </c>
      <c r="J53" s="271">
        <v>9100033030445</v>
      </c>
      <c r="K53" s="416">
        <f>+$I53*(1+'Unit tariffs'!$F$2)</f>
        <v>14452.889499999999</v>
      </c>
      <c r="L53" s="417">
        <f>+$K53*(1+'Unit tariffs'!$F$2)</f>
        <v>15276.704201499999</v>
      </c>
      <c r="M53" s="417">
        <f>+$L53*(1+'Unit tariffs'!$F$2)</f>
        <v>16147.476340985499</v>
      </c>
      <c r="N53" s="781">
        <f>+$M53*(1+'Unit tariffs'!$F$2)</f>
        <v>17067.882492421671</v>
      </c>
      <c r="O53" s="778"/>
      <c r="P53" s="778"/>
      <c r="Q53" s="778"/>
    </row>
    <row r="54" spans="1:17" x14ac:dyDescent="0.35">
      <c r="A54" s="269"/>
      <c r="B54" s="221"/>
      <c r="C54" s="222"/>
      <c r="D54" s="523"/>
      <c r="E54" s="606"/>
      <c r="F54" s="380"/>
      <c r="G54" s="228"/>
      <c r="H54" s="229"/>
      <c r="I54" s="562"/>
      <c r="J54" s="271"/>
      <c r="K54" s="416"/>
      <c r="L54" s="417"/>
      <c r="M54" s="417"/>
      <c r="N54" s="781"/>
      <c r="O54" s="778"/>
      <c r="P54" s="778"/>
      <c r="Q54" s="778"/>
    </row>
    <row r="55" spans="1:17" ht="37.5" x14ac:dyDescent="0.35">
      <c r="A55" s="269"/>
      <c r="B55" s="830" t="str">
        <f>'New Conn'!B817</f>
        <v xml:space="preserve">2.8 Three phase domestic connection (80A) in meter box,  Time of use (TOU) meter :  Connection in meter box placed on stand boundary  (Connection to an erf, where the development costs has been paid [5kVA]).                                 </v>
      </c>
      <c r="C55" s="222" t="str">
        <f>'New Conn'!H817</f>
        <v xml:space="preserve">  [Regional - Urban]</v>
      </c>
      <c r="D55" s="523">
        <f>'New Conn'!H845</f>
        <v>9110</v>
      </c>
      <c r="E55" s="606">
        <f t="shared" si="0"/>
        <v>10476.5</v>
      </c>
      <c r="F55" s="380">
        <f>'New Conn'!I845</f>
        <v>8030</v>
      </c>
      <c r="G55" s="228">
        <f t="shared" si="1"/>
        <v>-0.23352264592182503</v>
      </c>
      <c r="H55" s="229">
        <f t="shared" si="2"/>
        <v>1204.5</v>
      </c>
      <c r="I55" s="562">
        <f t="shared" si="3"/>
        <v>9234.5</v>
      </c>
      <c r="J55" s="271">
        <v>9100033030447</v>
      </c>
      <c r="K55" s="416">
        <f>+$I55*(1+'Unit tariffs'!$F$2)</f>
        <v>9760.8665000000001</v>
      </c>
      <c r="L55" s="417">
        <f>+$K55*(1+'Unit tariffs'!$F$2)</f>
        <v>10317.2358905</v>
      </c>
      <c r="M55" s="417">
        <f>+$L55*(1+'Unit tariffs'!$F$2)</f>
        <v>10905.318336258499</v>
      </c>
      <c r="N55" s="781">
        <f>+$M55*(1+'Unit tariffs'!$F$2)</f>
        <v>11526.921481425232</v>
      </c>
      <c r="O55" s="778"/>
      <c r="P55" s="778"/>
      <c r="Q55" s="778"/>
    </row>
    <row r="56" spans="1:17" x14ac:dyDescent="0.35">
      <c r="A56" s="269"/>
      <c r="B56" s="221"/>
      <c r="C56" s="222"/>
      <c r="D56" s="523"/>
      <c r="E56" s="606"/>
      <c r="F56" s="380"/>
      <c r="G56" s="228"/>
      <c r="H56" s="229"/>
      <c r="I56" s="562"/>
      <c r="J56" s="271"/>
      <c r="K56" s="416"/>
      <c r="L56" s="417"/>
      <c r="M56" s="417"/>
      <c r="N56" s="781"/>
      <c r="O56" s="778"/>
      <c r="P56" s="778"/>
      <c r="Q56" s="778"/>
    </row>
    <row r="57" spans="1:17" ht="37.5" x14ac:dyDescent="0.35">
      <c r="A57" s="269"/>
      <c r="B57" s="830" t="str">
        <f>'New Conn'!B853</f>
        <v>2.9 SSEG Three phase domestic connection (80A) in meter box,  Time of use (TOU) meter :  Connection in meter box placed on stand boundary . (Connection to an erf, where the development costs has been paid [5kVA]).</v>
      </c>
      <c r="C57" s="222" t="str">
        <f>'New Conn'!H853</f>
        <v xml:space="preserve"> [Mangaung - Urban]</v>
      </c>
      <c r="D57" s="523">
        <f>'New Conn'!H888</f>
        <v>11890</v>
      </c>
      <c r="E57" s="606">
        <f t="shared" si="0"/>
        <v>13673.499999999998</v>
      </c>
      <c r="F57" s="380">
        <f>'New Conn'!I888</f>
        <v>11890</v>
      </c>
      <c r="G57" s="228">
        <f t="shared" si="1"/>
        <v>-0.13043478260869554</v>
      </c>
      <c r="H57" s="229">
        <f t="shared" si="2"/>
        <v>1783.5</v>
      </c>
      <c r="I57" s="562">
        <f t="shared" si="3"/>
        <v>13673.5</v>
      </c>
      <c r="J57" s="271">
        <v>9100033030449</v>
      </c>
      <c r="K57" s="416">
        <f>+$I57*(1+'Unit tariffs'!$F$2)</f>
        <v>14452.889499999999</v>
      </c>
      <c r="L57" s="417">
        <f>+$K57*(1+'Unit tariffs'!$F$2)</f>
        <v>15276.704201499999</v>
      </c>
      <c r="M57" s="417">
        <f>+$L57*(1+'Unit tariffs'!$F$2)</f>
        <v>16147.476340985499</v>
      </c>
      <c r="N57" s="781">
        <f>+$M57*(1+'Unit tariffs'!$F$2)</f>
        <v>17067.882492421671</v>
      </c>
      <c r="O57" s="778"/>
      <c r="P57" s="778"/>
      <c r="Q57" s="778"/>
    </row>
    <row r="58" spans="1:17" x14ac:dyDescent="0.35">
      <c r="A58" s="269"/>
      <c r="B58" s="221"/>
      <c r="C58" s="222"/>
      <c r="D58" s="523"/>
      <c r="E58" s="606"/>
      <c r="F58" s="380"/>
      <c r="G58" s="228"/>
      <c r="H58" s="229"/>
      <c r="I58" s="562"/>
      <c r="J58" s="271"/>
      <c r="K58" s="416"/>
      <c r="L58" s="417"/>
      <c r="M58" s="417"/>
      <c r="N58" s="781"/>
      <c r="O58" s="778"/>
      <c r="P58" s="778"/>
      <c r="Q58" s="778"/>
    </row>
    <row r="59" spans="1:17" ht="37.5" x14ac:dyDescent="0.35">
      <c r="A59" s="269"/>
      <c r="B59" s="830" t="str">
        <f>'New Conn'!B894</f>
        <v xml:space="preserve">2.10 SSEG Three phase domestic connection (80A) in meter box,  Time of use (TOU) meter :  Connection in meter box placed on stand boundary taken from (Connection to an erf, where the development costs has been paid [5kVA]).                                    </v>
      </c>
      <c r="C59" s="222" t="str">
        <f>'New Conn'!H894</f>
        <v xml:space="preserve">  [Regional -  Urban area]</v>
      </c>
      <c r="D59" s="523">
        <f>'New Conn'!H921</f>
        <v>9110</v>
      </c>
      <c r="E59" s="606">
        <f t="shared" si="0"/>
        <v>10476.5</v>
      </c>
      <c r="F59" s="380">
        <f>'New Conn'!I921</f>
        <v>8030</v>
      </c>
      <c r="G59" s="228">
        <f t="shared" si="1"/>
        <v>-0.23352264592182503</v>
      </c>
      <c r="H59" s="229">
        <f t="shared" si="2"/>
        <v>1204.5</v>
      </c>
      <c r="I59" s="562">
        <f t="shared" si="3"/>
        <v>9234.5</v>
      </c>
      <c r="J59" s="271">
        <v>9100033030451</v>
      </c>
      <c r="K59" s="416">
        <f>+$I59*(1+'Unit tariffs'!$F$2)</f>
        <v>9760.8665000000001</v>
      </c>
      <c r="L59" s="417">
        <f>+$K59*(1+'Unit tariffs'!$F$2)</f>
        <v>10317.2358905</v>
      </c>
      <c r="M59" s="417">
        <f>+$L59*(1+'Unit tariffs'!$F$2)</f>
        <v>10905.318336258499</v>
      </c>
      <c r="N59" s="781">
        <f>+$M59*(1+'Unit tariffs'!$F$2)</f>
        <v>11526.921481425232</v>
      </c>
      <c r="O59" s="778"/>
      <c r="P59" s="778"/>
      <c r="Q59" s="778"/>
    </row>
    <row r="60" spans="1:17" x14ac:dyDescent="0.35">
      <c r="A60" s="269"/>
      <c r="B60" s="221"/>
      <c r="C60" s="222"/>
      <c r="D60" s="523"/>
      <c r="E60" s="606"/>
      <c r="F60" s="380"/>
      <c r="G60" s="228"/>
      <c r="H60" s="229"/>
      <c r="I60" s="562"/>
      <c r="J60" s="271"/>
      <c r="K60" s="416"/>
      <c r="L60" s="417"/>
      <c r="M60" s="417"/>
      <c r="N60" s="781"/>
      <c r="O60" s="778"/>
      <c r="P60" s="778"/>
      <c r="Q60" s="778"/>
    </row>
    <row r="61" spans="1:17" ht="25" hidden="1" x14ac:dyDescent="0.35">
      <c r="A61" s="269"/>
      <c r="B61" s="830" t="str">
        <f>'New Conn'!B926</f>
        <v>2.11 Three phase domestic connection in meter box, Split pre-payment meter (Connection to an erf, where the development costs has been paid [5kVA]).</v>
      </c>
      <c r="C61" s="222" t="str">
        <f>'New Conn'!H926</f>
        <v xml:space="preserve">  [Mangaung - Urban]</v>
      </c>
      <c r="D61" s="523">
        <f>'New Conn'!H961</f>
        <v>12740</v>
      </c>
      <c r="E61" s="606">
        <f t="shared" si="0"/>
        <v>14650.999999999998</v>
      </c>
      <c r="F61" s="380">
        <f>'New Conn'!I961</f>
        <v>12740</v>
      </c>
      <c r="G61" s="228">
        <f t="shared" si="1"/>
        <v>-0.13043478260869554</v>
      </c>
      <c r="H61" s="229">
        <f t="shared" si="2"/>
        <v>1911</v>
      </c>
      <c r="I61" s="562">
        <f t="shared" si="3"/>
        <v>14651</v>
      </c>
      <c r="J61" s="271">
        <v>9100033030453</v>
      </c>
      <c r="K61" s="416">
        <f>+$I61*(1+'Unit tariffs'!$F$2)</f>
        <v>15486.107</v>
      </c>
      <c r="L61" s="417">
        <f>+$K61*(1+'Unit tariffs'!$F$2)</f>
        <v>16368.815098999999</v>
      </c>
      <c r="M61" s="417">
        <f>+$L61*(1+'Unit tariffs'!$F$2)</f>
        <v>17301.837559642998</v>
      </c>
      <c r="N61" s="781">
        <f>+$M61*(1+'Unit tariffs'!$F$2)</f>
        <v>18288.042300542649</v>
      </c>
      <c r="O61" s="778"/>
      <c r="P61" s="778"/>
      <c r="Q61" s="778"/>
    </row>
    <row r="62" spans="1:17" x14ac:dyDescent="0.35">
      <c r="A62" s="269"/>
      <c r="B62" s="221"/>
      <c r="C62" s="222"/>
      <c r="D62" s="523"/>
      <c r="E62" s="606"/>
      <c r="F62" s="380"/>
      <c r="G62" s="228"/>
      <c r="H62" s="229"/>
      <c r="I62" s="562"/>
      <c r="J62" s="271"/>
      <c r="K62" s="416"/>
      <c r="L62" s="417"/>
      <c r="M62" s="417"/>
      <c r="N62" s="781"/>
      <c r="O62" s="778"/>
      <c r="P62" s="778"/>
      <c r="Q62" s="778"/>
    </row>
    <row r="63" spans="1:17" ht="25" x14ac:dyDescent="0.35">
      <c r="A63" s="269"/>
      <c r="B63" s="830" t="str">
        <f>'New Conn'!B968</f>
        <v>2.12 Three phase domestic connection in meter box, Split pre-payment meter. (Connection to an erf, where the development costs has been paid [5kVA]).</v>
      </c>
      <c r="C63" s="222" t="str">
        <f>'New Conn'!H968</f>
        <v xml:space="preserve">  [Regional - Urban]</v>
      </c>
      <c r="D63" s="523">
        <f>'New Conn'!H999</f>
        <v>8800</v>
      </c>
      <c r="E63" s="606">
        <f t="shared" si="0"/>
        <v>10120</v>
      </c>
      <c r="F63" s="380">
        <f>'New Conn'!I999</f>
        <v>8800</v>
      </c>
      <c r="G63" s="228">
        <f t="shared" si="1"/>
        <v>-0.13043478260869565</v>
      </c>
      <c r="H63" s="229">
        <f t="shared" si="2"/>
        <v>1320</v>
      </c>
      <c r="I63" s="562">
        <f t="shared" si="3"/>
        <v>10120</v>
      </c>
      <c r="J63" s="271">
        <v>9100033030455</v>
      </c>
      <c r="K63" s="416">
        <f>+$I63*(1+'Unit tariffs'!$F$2)</f>
        <v>10696.84</v>
      </c>
      <c r="L63" s="417">
        <f>+$K63*(1+'Unit tariffs'!$F$2)</f>
        <v>11306.559879999999</v>
      </c>
      <c r="M63" s="417">
        <f>+$L63*(1+'Unit tariffs'!$F$2)</f>
        <v>11951.033793159999</v>
      </c>
      <c r="N63" s="781">
        <f>+$M63*(1+'Unit tariffs'!$F$2)</f>
        <v>12632.242719370119</v>
      </c>
      <c r="O63" s="778"/>
      <c r="P63" s="778"/>
      <c r="Q63" s="778"/>
    </row>
    <row r="64" spans="1:17" x14ac:dyDescent="0.35">
      <c r="A64" s="269"/>
      <c r="B64" s="221"/>
      <c r="C64" s="222"/>
      <c r="D64" s="523"/>
      <c r="E64" s="606"/>
      <c r="F64" s="380"/>
      <c r="G64" s="228"/>
      <c r="H64" s="229"/>
      <c r="I64" s="562"/>
      <c r="J64" s="271"/>
      <c r="K64" s="416"/>
      <c r="L64" s="417"/>
      <c r="M64" s="417"/>
      <c r="N64" s="781"/>
      <c r="O64" s="778"/>
      <c r="P64" s="778"/>
      <c r="Q64" s="778"/>
    </row>
    <row r="65" spans="1:17" ht="25" x14ac:dyDescent="0.35">
      <c r="A65" s="269"/>
      <c r="B65" s="830" t="str">
        <f>'New Conn'!B1005</f>
        <v>2.13  Additional  Meters Urban Area:  1x 3ph  Split pre-paid meter connection- limited up to 500kVA, LV per Erf. If more than one (1) meter is required, a cost estimate will be done.</v>
      </c>
      <c r="C65" s="222" t="str">
        <f>'New Conn'!H1005</f>
        <v xml:space="preserve">  [Urban area]</v>
      </c>
      <c r="D65" s="523">
        <f>'New Conn'!H1031</f>
        <v>3330</v>
      </c>
      <c r="E65" s="606">
        <f t="shared" si="0"/>
        <v>3829.4999999999995</v>
      </c>
      <c r="F65" s="380">
        <f>'New Conn'!I1031</f>
        <v>3330</v>
      </c>
      <c r="G65" s="228">
        <f t="shared" si="1"/>
        <v>-0.13043478260869554</v>
      </c>
      <c r="H65" s="229">
        <f t="shared" si="2"/>
        <v>499.5</v>
      </c>
      <c r="I65" s="562">
        <f t="shared" si="3"/>
        <v>3829.5</v>
      </c>
      <c r="J65" s="271">
        <v>9100033030457</v>
      </c>
      <c r="K65" s="416">
        <f>+$I65*(1+'Unit tariffs'!$F$2)</f>
        <v>4047.7814999999996</v>
      </c>
      <c r="L65" s="417">
        <f>+$K65*(1+'Unit tariffs'!$F$2)</f>
        <v>4278.5050454999991</v>
      </c>
      <c r="M65" s="417">
        <f>+$L65*(1+'Unit tariffs'!$F$2)</f>
        <v>4522.3798330934987</v>
      </c>
      <c r="N65" s="781">
        <f>+$M65*(1+'Unit tariffs'!$F$2)</f>
        <v>4780.1554835798279</v>
      </c>
      <c r="O65" s="778"/>
      <c r="P65" s="778"/>
      <c r="Q65" s="778"/>
    </row>
    <row r="66" spans="1:17" x14ac:dyDescent="0.35">
      <c r="A66" s="269"/>
      <c r="B66" s="221"/>
      <c r="C66" s="222"/>
      <c r="D66" s="523"/>
      <c r="E66" s="606"/>
      <c r="F66" s="380"/>
      <c r="G66" s="228"/>
      <c r="H66" s="229"/>
      <c r="I66" s="562"/>
      <c r="J66" s="271"/>
      <c r="K66" s="416"/>
      <c r="L66" s="417"/>
      <c r="M66" s="417"/>
      <c r="N66" s="781"/>
      <c r="O66" s="778"/>
      <c r="P66" s="778"/>
      <c r="Q66" s="778"/>
    </row>
    <row r="67" spans="1:17" ht="25" x14ac:dyDescent="0.35">
      <c r="A67" s="269"/>
      <c r="B67" s="830" t="str">
        <f>'New Conn'!B1039</f>
        <v>2.14  Additional  Meters Peri-Urban Area:  1x 3ph  Split pre-paid meter connection- limited up to 200kVA, LV per Erf. If more than one (1) meter is required, a cost estimate will be done.</v>
      </c>
      <c r="C67" s="222" t="str">
        <f>'New Conn'!H1039</f>
        <v xml:space="preserve">  [Peri - urban area]</v>
      </c>
      <c r="D67" s="523">
        <f>'New Conn'!H1065</f>
        <v>3330</v>
      </c>
      <c r="E67" s="606">
        <f t="shared" si="0"/>
        <v>3829.4999999999995</v>
      </c>
      <c r="F67" s="380">
        <f>'New Conn'!I1065</f>
        <v>3330</v>
      </c>
      <c r="G67" s="228">
        <f t="shared" si="1"/>
        <v>-0.13043478260869554</v>
      </c>
      <c r="H67" s="229">
        <f t="shared" si="2"/>
        <v>499.5</v>
      </c>
      <c r="I67" s="562">
        <f t="shared" si="3"/>
        <v>3829.5</v>
      </c>
      <c r="J67" s="271">
        <v>9100033030459</v>
      </c>
      <c r="K67" s="416">
        <f>+$I67*(1+'Unit tariffs'!$F$2)</f>
        <v>4047.7814999999996</v>
      </c>
      <c r="L67" s="417">
        <f>+$K67*(1+'Unit tariffs'!$F$2)</f>
        <v>4278.5050454999991</v>
      </c>
      <c r="M67" s="417">
        <f>+$L67*(1+'Unit tariffs'!$F$2)</f>
        <v>4522.3798330934987</v>
      </c>
      <c r="N67" s="781">
        <f>+$M67*(1+'Unit tariffs'!$F$2)</f>
        <v>4780.1554835798279</v>
      </c>
      <c r="O67" s="778"/>
      <c r="P67" s="778"/>
      <c r="Q67" s="778"/>
    </row>
    <row r="68" spans="1:17" x14ac:dyDescent="0.35">
      <c r="A68" s="269"/>
      <c r="B68" s="221"/>
      <c r="C68" s="222"/>
      <c r="D68" s="523"/>
      <c r="E68" s="606"/>
      <c r="F68" s="380"/>
      <c r="G68" s="228"/>
      <c r="H68" s="229"/>
      <c r="I68" s="562"/>
      <c r="J68" s="271"/>
      <c r="K68" s="416"/>
      <c r="L68" s="417"/>
      <c r="M68" s="417"/>
      <c r="N68" s="781"/>
      <c r="O68" s="778"/>
      <c r="P68" s="778"/>
      <c r="Q68" s="778"/>
    </row>
    <row r="69" spans="1:17" ht="37.5" hidden="1" x14ac:dyDescent="0.35">
      <c r="A69" s="269"/>
      <c r="B69" s="830" t="str">
        <f>'New Conn'!B1072</f>
        <v>2.15 Three phase domestic connection (80A) in meter box,  Time of use (TOU) meter :  Connection in meter box placed on stand boundary (Connection to an erf, where the development costs has NOT been paid).</v>
      </c>
      <c r="C69" s="222" t="str">
        <f>'New Conn'!H1072</f>
        <v xml:space="preserve"> [Mangaung - Peri urban]</v>
      </c>
      <c r="D69" s="523">
        <f>'New Conn'!H1104</f>
        <v>41290</v>
      </c>
      <c r="E69" s="606">
        <f t="shared" si="0"/>
        <v>47483.499999999993</v>
      </c>
      <c r="F69" s="380">
        <f>'New Conn'!I1104</f>
        <v>41290</v>
      </c>
      <c r="G69" s="228">
        <f t="shared" si="1"/>
        <v>-0.13043478260869551</v>
      </c>
      <c r="H69" s="229">
        <f t="shared" si="2"/>
        <v>6193.5</v>
      </c>
      <c r="I69" s="562">
        <f t="shared" si="3"/>
        <v>47483.5</v>
      </c>
      <c r="J69" s="271">
        <v>9100033030461</v>
      </c>
      <c r="K69" s="416">
        <f>+$I69*(1+'Unit tariffs'!$F$2)</f>
        <v>50190.059499999996</v>
      </c>
      <c r="L69" s="417">
        <f>+$K69*(1+'Unit tariffs'!$F$2)</f>
        <v>53050.892891499992</v>
      </c>
      <c r="M69" s="417">
        <f>+$L69*(1+'Unit tariffs'!$F$2)</f>
        <v>56074.793786315488</v>
      </c>
      <c r="N69" s="781">
        <f>+$M69*(1+'Unit tariffs'!$F$2)</f>
        <v>59271.057032135468</v>
      </c>
      <c r="O69" s="778"/>
      <c r="P69" s="778"/>
      <c r="Q69" s="778"/>
    </row>
    <row r="70" spans="1:17" x14ac:dyDescent="0.35">
      <c r="A70" s="269"/>
      <c r="B70" s="221"/>
      <c r="C70" s="222"/>
      <c r="D70" s="523"/>
      <c r="E70" s="606"/>
      <c r="F70" s="380"/>
      <c r="G70" s="228"/>
      <c r="H70" s="229"/>
      <c r="I70" s="562"/>
      <c r="J70" s="271"/>
      <c r="K70" s="416"/>
      <c r="L70" s="417"/>
      <c r="M70" s="417"/>
      <c r="N70" s="781"/>
      <c r="O70" s="778"/>
      <c r="P70" s="778"/>
      <c r="Q70" s="778"/>
    </row>
    <row r="71" spans="1:17" ht="37.5" x14ac:dyDescent="0.35">
      <c r="A71" s="269"/>
      <c r="B71" s="830" t="str">
        <f>'New Conn'!B1110</f>
        <v xml:space="preserve">2.16 Three phase domestic connection (80A) in meter box,  Time of use (TOU) meter :  Connection in meter box placed on stand boundary  (Connection to an erf, where the development costs has NOT been paid) .                                 </v>
      </c>
      <c r="C71" s="222" t="str">
        <f>'New Conn'!H1110</f>
        <v xml:space="preserve">  [Regional - Peri urban]</v>
      </c>
      <c r="D71" s="523">
        <f>'New Conn'!H1137</f>
        <v>18740</v>
      </c>
      <c r="E71" s="606">
        <f t="shared" si="0"/>
        <v>21551</v>
      </c>
      <c r="F71" s="380">
        <f>'New Conn'!I1137</f>
        <v>17660</v>
      </c>
      <c r="G71" s="228">
        <f t="shared" si="1"/>
        <v>-0.180548466428472</v>
      </c>
      <c r="H71" s="229">
        <f t="shared" si="2"/>
        <v>2649</v>
      </c>
      <c r="I71" s="562">
        <f t="shared" si="3"/>
        <v>20309</v>
      </c>
      <c r="J71" s="271">
        <v>9100033030463</v>
      </c>
      <c r="K71" s="416">
        <f>+$I71*(1+'Unit tariffs'!$F$2)</f>
        <v>21466.612999999998</v>
      </c>
      <c r="L71" s="417">
        <f>+$K71*(1+'Unit tariffs'!$F$2)</f>
        <v>22690.209940999997</v>
      </c>
      <c r="M71" s="417">
        <f>+$L71*(1+'Unit tariffs'!$F$2)</f>
        <v>23983.551907636996</v>
      </c>
      <c r="N71" s="781">
        <f>+$M71*(1+'Unit tariffs'!$F$2)</f>
        <v>25350.614366372305</v>
      </c>
      <c r="O71" s="778"/>
      <c r="P71" s="778"/>
      <c r="Q71" s="778"/>
    </row>
    <row r="72" spans="1:17" x14ac:dyDescent="0.35">
      <c r="A72" s="269"/>
      <c r="B72" s="221"/>
      <c r="C72" s="222"/>
      <c r="D72" s="523"/>
      <c r="E72" s="606"/>
      <c r="F72" s="380"/>
      <c r="G72" s="228"/>
      <c r="H72" s="229"/>
      <c r="I72" s="562"/>
      <c r="J72" s="271"/>
      <c r="K72" s="416"/>
      <c r="L72" s="417"/>
      <c r="M72" s="417"/>
      <c r="N72" s="781"/>
      <c r="O72" s="778"/>
      <c r="P72" s="778"/>
      <c r="Q72" s="778"/>
    </row>
    <row r="73" spans="1:17" ht="37.5" x14ac:dyDescent="0.35">
      <c r="A73" s="269"/>
      <c r="B73" s="830" t="str">
        <f>'New Conn'!B1145</f>
        <v>2.17 SSEG Three phase domestic connection (80A) in meter box,  Time of use (TOU) meter :  Connection in meter box placed on stand boundary . (Connection to an erf, where the development costs has NOT been paid).</v>
      </c>
      <c r="C73" s="222" t="str">
        <f>'New Conn'!H1145</f>
        <v xml:space="preserve"> [Mangaung - Peri urban]</v>
      </c>
      <c r="D73" s="523">
        <f>'New Conn'!H1179</f>
        <v>41290</v>
      </c>
      <c r="E73" s="606">
        <f t="shared" si="0"/>
        <v>47483.499999999993</v>
      </c>
      <c r="F73" s="380">
        <f>'New Conn'!I1179</f>
        <v>41290</v>
      </c>
      <c r="G73" s="228">
        <f t="shared" si="1"/>
        <v>-0.13043478260869551</v>
      </c>
      <c r="H73" s="229">
        <f t="shared" si="2"/>
        <v>6193.5</v>
      </c>
      <c r="I73" s="562">
        <f t="shared" si="3"/>
        <v>47483.5</v>
      </c>
      <c r="J73" s="271">
        <v>9100033030465</v>
      </c>
      <c r="K73" s="416">
        <f>+$I73*(1+'Unit tariffs'!$F$2)</f>
        <v>50190.059499999996</v>
      </c>
      <c r="L73" s="417">
        <f>+$K73*(1+'Unit tariffs'!$F$2)</f>
        <v>53050.892891499992</v>
      </c>
      <c r="M73" s="417">
        <f>+$L73*(1+'Unit tariffs'!$F$2)</f>
        <v>56074.793786315488</v>
      </c>
      <c r="N73" s="781">
        <f>+$M73*(1+'Unit tariffs'!$F$2)</f>
        <v>59271.057032135468</v>
      </c>
      <c r="O73" s="778"/>
      <c r="P73" s="778"/>
      <c r="Q73" s="778"/>
    </row>
    <row r="74" spans="1:17" x14ac:dyDescent="0.35">
      <c r="A74" s="269"/>
      <c r="B74" s="221"/>
      <c r="C74" s="222"/>
      <c r="D74" s="523"/>
      <c r="E74" s="606"/>
      <c r="F74" s="380"/>
      <c r="G74" s="228"/>
      <c r="H74" s="229"/>
      <c r="I74" s="562"/>
      <c r="J74" s="271"/>
      <c r="K74" s="416"/>
      <c r="L74" s="417"/>
      <c r="M74" s="417"/>
      <c r="N74" s="781"/>
      <c r="O74" s="778"/>
      <c r="P74" s="778"/>
      <c r="Q74" s="778"/>
    </row>
    <row r="75" spans="1:17" ht="37.5" x14ac:dyDescent="0.35">
      <c r="A75" s="269"/>
      <c r="B75" s="830" t="str">
        <f>'New Conn'!B1185</f>
        <v xml:space="preserve">2.18 SSEG Three phase domestic connection (80A) in meter box,  Time of use (TOU) meter :  Connection in meter box placed on stand boundary taken from (Connection to an erf, where the development costs has NOT been paid).                                    </v>
      </c>
      <c r="C75" s="222" t="str">
        <f>'New Conn'!H1185</f>
        <v xml:space="preserve">  [Regional -  Peri urban area]</v>
      </c>
      <c r="D75" s="523">
        <f>'New Conn'!H1212</f>
        <v>18740</v>
      </c>
      <c r="E75" s="606">
        <f t="shared" si="0"/>
        <v>21551</v>
      </c>
      <c r="F75" s="380">
        <f>'New Conn'!I1212</f>
        <v>17660</v>
      </c>
      <c r="G75" s="228">
        <f t="shared" si="1"/>
        <v>-0.180548466428472</v>
      </c>
      <c r="H75" s="229">
        <f t="shared" si="2"/>
        <v>2649</v>
      </c>
      <c r="I75" s="562">
        <f t="shared" si="3"/>
        <v>20309</v>
      </c>
      <c r="J75" s="271">
        <v>9100033030467</v>
      </c>
      <c r="K75" s="416">
        <f>+$I75*(1+'Unit tariffs'!$F$2)</f>
        <v>21466.612999999998</v>
      </c>
      <c r="L75" s="417">
        <f>+$K75*(1+'Unit tariffs'!$F$2)</f>
        <v>22690.209940999997</v>
      </c>
      <c r="M75" s="417">
        <f>+$L75*(1+'Unit tariffs'!$F$2)</f>
        <v>23983.551907636996</v>
      </c>
      <c r="N75" s="781">
        <f>+$M75*(1+'Unit tariffs'!$F$2)</f>
        <v>25350.614366372305</v>
      </c>
      <c r="O75" s="778"/>
      <c r="P75" s="778"/>
      <c r="Q75" s="778"/>
    </row>
    <row r="76" spans="1:17" x14ac:dyDescent="0.35">
      <c r="A76" s="269"/>
      <c r="B76" s="221"/>
      <c r="C76" s="222"/>
      <c r="D76" s="523"/>
      <c r="E76" s="606"/>
      <c r="F76" s="380"/>
      <c r="G76" s="228"/>
      <c r="H76" s="229"/>
      <c r="I76" s="562"/>
      <c r="J76" s="271"/>
      <c r="K76" s="416"/>
      <c r="L76" s="417"/>
      <c r="M76" s="417"/>
      <c r="N76" s="781"/>
      <c r="O76" s="778"/>
      <c r="P76" s="778"/>
      <c r="Q76" s="778"/>
    </row>
    <row r="77" spans="1:17" ht="26" hidden="1" x14ac:dyDescent="0.35">
      <c r="A77" s="269"/>
      <c r="B77" s="706" t="str">
        <f>'New Conn'!B1217</f>
        <v>2.19 Three phase domestic connection in meter box, Split pre-payment meter (Connection to an erf, where the development costs has NOT been paid)</v>
      </c>
      <c r="C77" s="222" t="str">
        <f>'New Conn'!H1217</f>
        <v xml:space="preserve">  [Mangaung - Peri urban]</v>
      </c>
      <c r="D77" s="523">
        <f>'New Conn'!H1252</f>
        <v>44500</v>
      </c>
      <c r="E77" s="606">
        <f t="shared" ref="E77:E138" si="4">D77*1.15</f>
        <v>51174.999999999993</v>
      </c>
      <c r="F77" s="380">
        <f>'New Conn'!I1252</f>
        <v>44500</v>
      </c>
      <c r="G77" s="228">
        <f t="shared" si="1"/>
        <v>-0.13043478260869554</v>
      </c>
      <c r="H77" s="229">
        <f t="shared" si="2"/>
        <v>6675</v>
      </c>
      <c r="I77" s="562">
        <f t="shared" si="3"/>
        <v>51175</v>
      </c>
      <c r="J77" s="271">
        <v>9100033030469</v>
      </c>
      <c r="K77" s="416">
        <f>+$I77*(1+'Unit tariffs'!$F$2)</f>
        <v>54091.974999999999</v>
      </c>
      <c r="L77" s="417">
        <f>+$K77*(1+'Unit tariffs'!$F$2)</f>
        <v>57175.217574999995</v>
      </c>
      <c r="M77" s="417">
        <f>+$L77*(1+'Unit tariffs'!$F$2)</f>
        <v>60434.204976774992</v>
      </c>
      <c r="N77" s="781">
        <f>+$M77*(1+'Unit tariffs'!$F$2)</f>
        <v>63878.954660451163</v>
      </c>
      <c r="O77" s="778"/>
      <c r="P77" s="778"/>
      <c r="Q77" s="778"/>
    </row>
    <row r="78" spans="1:17" x14ac:dyDescent="0.35">
      <c r="A78" s="269"/>
      <c r="B78" s="221"/>
      <c r="C78" s="222"/>
      <c r="D78" s="523"/>
      <c r="E78" s="606"/>
      <c r="F78" s="380"/>
      <c r="G78" s="228"/>
      <c r="H78" s="229"/>
      <c r="I78" s="562"/>
      <c r="J78" s="271"/>
      <c r="K78" s="416"/>
      <c r="L78" s="417"/>
      <c r="M78" s="417"/>
      <c r="N78" s="781"/>
      <c r="O78" s="778"/>
      <c r="P78" s="778"/>
      <c r="Q78" s="778"/>
    </row>
    <row r="79" spans="1:17" ht="25" x14ac:dyDescent="0.35">
      <c r="A79" s="269"/>
      <c r="B79" s="830" t="str">
        <f>'New Conn'!B1259</f>
        <v>2.20 Three phase domestic connection in meter box, Split pre-payment meter. (Connection to an erf, where the development costs has NOT been paid)</v>
      </c>
      <c r="C79" s="222" t="str">
        <f>'New Conn'!H1259</f>
        <v xml:space="preserve">  [Regional - Peri urban]</v>
      </c>
      <c r="D79" s="523">
        <f>'New Conn'!H1290</f>
        <v>32650</v>
      </c>
      <c r="E79" s="606">
        <f t="shared" si="4"/>
        <v>37547.5</v>
      </c>
      <c r="F79" s="380">
        <f>'New Conn'!I1290</f>
        <v>32650</v>
      </c>
      <c r="G79" s="228">
        <f t="shared" si="1"/>
        <v>-0.13043478260869565</v>
      </c>
      <c r="H79" s="229">
        <f t="shared" si="2"/>
        <v>4897.5</v>
      </c>
      <c r="I79" s="562">
        <f t="shared" si="3"/>
        <v>37547.5</v>
      </c>
      <c r="J79" s="271">
        <v>9100033030471</v>
      </c>
      <c r="K79" s="416">
        <f>+$I79*(1+'Unit tariffs'!$F$2)</f>
        <v>39687.707499999997</v>
      </c>
      <c r="L79" s="417">
        <f>+$K79*(1+'Unit tariffs'!$F$2)</f>
        <v>41949.906827499995</v>
      </c>
      <c r="M79" s="417">
        <f>+$L79*(1+'Unit tariffs'!$F$2)</f>
        <v>44341.051516667496</v>
      </c>
      <c r="N79" s="781">
        <f>+$M79*(1+'Unit tariffs'!$F$2)</f>
        <v>46868.491453117538</v>
      </c>
      <c r="O79" s="778"/>
      <c r="P79" s="778"/>
      <c r="Q79" s="778"/>
    </row>
    <row r="80" spans="1:17" x14ac:dyDescent="0.35">
      <c r="A80" s="269"/>
      <c r="B80" s="221"/>
      <c r="C80" s="222"/>
      <c r="D80" s="523"/>
      <c r="E80" s="606"/>
      <c r="F80" s="380"/>
      <c r="G80" s="228"/>
      <c r="H80" s="229"/>
      <c r="I80" s="562"/>
      <c r="J80" s="271"/>
      <c r="K80" s="416"/>
      <c r="L80" s="417"/>
      <c r="M80" s="417"/>
      <c r="N80" s="781"/>
      <c r="O80" s="778"/>
      <c r="P80" s="778"/>
      <c r="Q80" s="778"/>
    </row>
    <row r="81" spans="1:17" ht="37.5" hidden="1" x14ac:dyDescent="0.35">
      <c r="A81" s="269"/>
      <c r="B81" s="830" t="str">
        <f>'New Conn'!B1293</f>
        <v>2.21 Three phase domestic connection (80A) in meter box,  Time of use (TOU) meter :  Connection in meter box placed on stand boundary (Connection to an erf, where the development costs has been paid [5kVA]).</v>
      </c>
      <c r="C81" s="222" t="str">
        <f>'New Conn'!H1293</f>
        <v xml:space="preserve"> [Mangaung - Peri urban]</v>
      </c>
      <c r="D81" s="523">
        <f>'New Conn'!H1327</f>
        <v>15850</v>
      </c>
      <c r="E81" s="606">
        <f t="shared" si="4"/>
        <v>18227.5</v>
      </c>
      <c r="F81" s="380">
        <f>'New Conn'!I1327</f>
        <v>15850</v>
      </c>
      <c r="G81" s="228">
        <f t="shared" si="1"/>
        <v>-0.13043478260869565</v>
      </c>
      <c r="H81" s="229">
        <f t="shared" si="2"/>
        <v>2377.5</v>
      </c>
      <c r="I81" s="562">
        <f t="shared" si="3"/>
        <v>18227.5</v>
      </c>
      <c r="J81" s="271">
        <v>9100033030473</v>
      </c>
      <c r="K81" s="416">
        <f>+$I81*(1+'Unit tariffs'!$F$2)</f>
        <v>19266.467499999999</v>
      </c>
      <c r="L81" s="417">
        <f>+$K81*(1+'Unit tariffs'!$F$2)</f>
        <v>20364.656147499998</v>
      </c>
      <c r="M81" s="417">
        <f>+$L81*(1+'Unit tariffs'!$F$2)</f>
        <v>21525.441547907496</v>
      </c>
      <c r="N81" s="781">
        <f>+$M81*(1+'Unit tariffs'!$F$2)</f>
        <v>22752.391716138223</v>
      </c>
      <c r="O81" s="778"/>
      <c r="P81" s="778"/>
      <c r="Q81" s="778"/>
    </row>
    <row r="82" spans="1:17" x14ac:dyDescent="0.35">
      <c r="A82" s="269"/>
      <c r="B82" s="221"/>
      <c r="C82" s="222"/>
      <c r="D82" s="523"/>
      <c r="E82" s="606"/>
      <c r="F82" s="380"/>
      <c r="G82" s="228"/>
      <c r="H82" s="229"/>
      <c r="I82" s="562"/>
      <c r="J82" s="271"/>
      <c r="K82" s="416"/>
      <c r="L82" s="417"/>
      <c r="M82" s="417"/>
      <c r="N82" s="781"/>
      <c r="O82" s="778"/>
      <c r="P82" s="778"/>
      <c r="Q82" s="778"/>
    </row>
    <row r="83" spans="1:17" ht="37.5" x14ac:dyDescent="0.35">
      <c r="A83" s="269"/>
      <c r="B83" s="830" t="str">
        <f>'New Conn'!B1333</f>
        <v xml:space="preserve">2.22 Three phase domestic connection (80A) in meter box,  Time of use (TOU) meter :  Connection in meter box placed on stand boundary  (Connection to an erf, where the development costs has been paid [5kVA]).                                 </v>
      </c>
      <c r="C83" s="222" t="str">
        <f>'New Conn'!H1333</f>
        <v xml:space="preserve">  [Regional - Peri urban]</v>
      </c>
      <c r="D83" s="523">
        <f>'New Conn'!H1360</f>
        <v>13070</v>
      </c>
      <c r="E83" s="606">
        <f t="shared" si="4"/>
        <v>15030.499999999998</v>
      </c>
      <c r="F83" s="380">
        <f>'New Conn'!I1360</f>
        <v>11990</v>
      </c>
      <c r="G83" s="228">
        <f t="shared" si="1"/>
        <v>-0.20228867968464112</v>
      </c>
      <c r="H83" s="229">
        <f t="shared" si="2"/>
        <v>1798.5</v>
      </c>
      <c r="I83" s="562">
        <f t="shared" si="3"/>
        <v>13788.5</v>
      </c>
      <c r="J83" s="271">
        <v>9100033030475</v>
      </c>
      <c r="K83" s="416">
        <f>+$I83*(1+'Unit tariffs'!$F$2)</f>
        <v>14574.4445</v>
      </c>
      <c r="L83" s="417">
        <f>+$K83*(1+'Unit tariffs'!$F$2)</f>
        <v>15405.187836499999</v>
      </c>
      <c r="M83" s="417">
        <f>+$L83*(1+'Unit tariffs'!$F$2)</f>
        <v>16283.283543180498</v>
      </c>
      <c r="N83" s="781">
        <f>+$M83*(1+'Unit tariffs'!$F$2)</f>
        <v>17211.430705141785</v>
      </c>
      <c r="O83" s="778"/>
      <c r="P83" s="778"/>
      <c r="Q83" s="778"/>
    </row>
    <row r="84" spans="1:17" x14ac:dyDescent="0.35">
      <c r="A84" s="269"/>
      <c r="B84" s="221"/>
      <c r="C84" s="222"/>
      <c r="D84" s="523"/>
      <c r="E84" s="606"/>
      <c r="F84" s="380"/>
      <c r="G84" s="228"/>
      <c r="H84" s="229"/>
      <c r="I84" s="562"/>
      <c r="J84" s="271"/>
      <c r="K84" s="416"/>
      <c r="L84" s="417"/>
      <c r="M84" s="417"/>
      <c r="N84" s="781"/>
      <c r="O84" s="778"/>
      <c r="P84" s="778"/>
      <c r="Q84" s="778"/>
    </row>
    <row r="85" spans="1:17" ht="37.5" hidden="1" x14ac:dyDescent="0.35">
      <c r="A85" s="269"/>
      <c r="B85" s="830" t="str">
        <f>'New Conn'!B1368</f>
        <v>2.23 SSEG Three phase domestic connection (80A) in meter box,  Time of use (TOU) meter :  Connection in meter box placed on stand boundary . (Connection to an erf, where the development costs has been paid [5kVA]).</v>
      </c>
      <c r="C85" s="222" t="str">
        <f>'New Conn'!H1368</f>
        <v xml:space="preserve"> [Mangaung - Peri urban]</v>
      </c>
      <c r="D85" s="523">
        <f>'New Conn'!H1402</f>
        <v>15850</v>
      </c>
      <c r="E85" s="606">
        <f t="shared" si="4"/>
        <v>18227.5</v>
      </c>
      <c r="F85" s="380">
        <f>'New Conn'!I1402</f>
        <v>15850</v>
      </c>
      <c r="G85" s="228">
        <f t="shared" si="1"/>
        <v>-0.13043478260869565</v>
      </c>
      <c r="H85" s="229">
        <f t="shared" si="2"/>
        <v>2377.5</v>
      </c>
      <c r="I85" s="562">
        <f t="shared" si="3"/>
        <v>18227.5</v>
      </c>
      <c r="J85" s="271">
        <v>9100033030477</v>
      </c>
      <c r="K85" s="416">
        <f>+$I85*(1+'Unit tariffs'!$F$2)</f>
        <v>19266.467499999999</v>
      </c>
      <c r="L85" s="417">
        <f>+$K85*(1+'Unit tariffs'!$F$2)</f>
        <v>20364.656147499998</v>
      </c>
      <c r="M85" s="417">
        <f>+$L85*(1+'Unit tariffs'!$F$2)</f>
        <v>21525.441547907496</v>
      </c>
      <c r="N85" s="781">
        <f>+$M85*(1+'Unit tariffs'!$F$2)</f>
        <v>22752.391716138223</v>
      </c>
      <c r="O85" s="778"/>
      <c r="P85" s="778"/>
      <c r="Q85" s="778"/>
    </row>
    <row r="86" spans="1:17" x14ac:dyDescent="0.35">
      <c r="A86" s="269"/>
      <c r="B86" s="221"/>
      <c r="C86" s="222"/>
      <c r="D86" s="523"/>
      <c r="E86" s="606"/>
      <c r="F86" s="380"/>
      <c r="G86" s="228"/>
      <c r="H86" s="229"/>
      <c r="I86" s="562"/>
      <c r="J86" s="271"/>
      <c r="K86" s="416"/>
      <c r="L86" s="417"/>
      <c r="M86" s="417"/>
      <c r="N86" s="781"/>
      <c r="O86" s="778"/>
      <c r="P86" s="778"/>
      <c r="Q86" s="778"/>
    </row>
    <row r="87" spans="1:17" ht="37.5" x14ac:dyDescent="0.35">
      <c r="A87" s="269"/>
      <c r="B87" s="830" t="str">
        <f>'New Conn'!B1408</f>
        <v xml:space="preserve">2.24 SSEG Three phase domestic connection (80A) in meter box,  Time of use (TOU) meter :  Connection in meter box placed on stand boundary taken from (Connection to an erf, where the development costs has been paid [5kVA]).                                    </v>
      </c>
      <c r="C87" s="222" t="str">
        <f>'New Conn'!H1408</f>
        <v xml:space="preserve">  [Regional -  Peri urban area]</v>
      </c>
      <c r="D87" s="523">
        <f>'New Conn'!H1435</f>
        <v>13070</v>
      </c>
      <c r="E87" s="606">
        <f t="shared" si="4"/>
        <v>15030.499999999998</v>
      </c>
      <c r="F87" s="380">
        <f>'New Conn'!I1435</f>
        <v>11990</v>
      </c>
      <c r="G87" s="228">
        <f t="shared" si="1"/>
        <v>-0.20228867968464112</v>
      </c>
      <c r="H87" s="229">
        <f t="shared" si="2"/>
        <v>1798.5</v>
      </c>
      <c r="I87" s="562">
        <f t="shared" si="3"/>
        <v>13788.5</v>
      </c>
      <c r="J87" s="271">
        <v>9100033030479</v>
      </c>
      <c r="K87" s="416">
        <f>+$I87*(1+'Unit tariffs'!$F$2)</f>
        <v>14574.4445</v>
      </c>
      <c r="L87" s="417">
        <f>+$K87*(1+'Unit tariffs'!$F$2)</f>
        <v>15405.187836499999</v>
      </c>
      <c r="M87" s="417">
        <f>+$L87*(1+'Unit tariffs'!$F$2)</f>
        <v>16283.283543180498</v>
      </c>
      <c r="N87" s="781">
        <f>+$M87*(1+'Unit tariffs'!$F$2)</f>
        <v>17211.430705141785</v>
      </c>
      <c r="O87" s="778"/>
      <c r="P87" s="778"/>
      <c r="Q87" s="778"/>
    </row>
    <row r="88" spans="1:17" x14ac:dyDescent="0.35">
      <c r="A88" s="269"/>
      <c r="B88" s="221"/>
      <c r="C88" s="222"/>
      <c r="D88" s="523"/>
      <c r="E88" s="606"/>
      <c r="F88" s="380"/>
      <c r="G88" s="228"/>
      <c r="H88" s="229"/>
      <c r="I88" s="562"/>
      <c r="J88" s="271"/>
      <c r="K88" s="416"/>
      <c r="L88" s="417"/>
      <c r="M88" s="417"/>
      <c r="N88" s="781"/>
      <c r="O88" s="778"/>
      <c r="P88" s="778"/>
      <c r="Q88" s="778"/>
    </row>
    <row r="89" spans="1:17" ht="25" hidden="1" x14ac:dyDescent="0.35">
      <c r="A89" s="269"/>
      <c r="B89" s="830" t="str">
        <f>'New Conn'!B1440</f>
        <v>2.25 Three phase domestic connection in meter box, Split pre-payment meter (Connection to an erf, where the development costs has been paid [5kVA]).</v>
      </c>
      <c r="C89" s="222" t="str">
        <f>'New Conn'!H1440</f>
        <v xml:space="preserve">  [Mangaung - Peri urban]</v>
      </c>
      <c r="D89" s="523">
        <f>'New Conn'!H1475</f>
        <v>19060</v>
      </c>
      <c r="E89" s="606">
        <f t="shared" si="4"/>
        <v>21919</v>
      </c>
      <c r="F89" s="380">
        <f>'New Conn'!I1475</f>
        <v>19060</v>
      </c>
      <c r="G89" s="228">
        <f t="shared" ref="G89:G147" si="5">(F89-E89)/E89</f>
        <v>-0.13043478260869565</v>
      </c>
      <c r="H89" s="229">
        <f t="shared" ref="H89:H147" si="6">F89*H$3</f>
        <v>2859</v>
      </c>
      <c r="I89" s="562">
        <f t="shared" ref="I89:I147" si="7">F89+H89</f>
        <v>21919</v>
      </c>
      <c r="J89" s="271">
        <v>9100033030481</v>
      </c>
      <c r="K89" s="416">
        <f>+$I89*(1+'Unit tariffs'!$F$2)</f>
        <v>23168.382999999998</v>
      </c>
      <c r="L89" s="417">
        <f>+$K89*(1+'Unit tariffs'!$F$2)</f>
        <v>24488.980830999997</v>
      </c>
      <c r="M89" s="417">
        <f>+$L89*(1+'Unit tariffs'!$F$2)</f>
        <v>25884.852738366997</v>
      </c>
      <c r="N89" s="781">
        <f>+$M89*(1+'Unit tariffs'!$F$2)</f>
        <v>27360.289344453915</v>
      </c>
      <c r="O89" s="778"/>
      <c r="P89" s="778"/>
      <c r="Q89" s="778"/>
    </row>
    <row r="90" spans="1:17" x14ac:dyDescent="0.35">
      <c r="A90" s="269"/>
      <c r="B90" s="221"/>
      <c r="C90" s="222"/>
      <c r="D90" s="523"/>
      <c r="E90" s="606"/>
      <c r="F90" s="380"/>
      <c r="G90" s="228"/>
      <c r="H90" s="229"/>
      <c r="I90" s="562"/>
      <c r="J90" s="271"/>
      <c r="K90" s="416"/>
      <c r="L90" s="417"/>
      <c r="M90" s="417"/>
      <c r="N90" s="781"/>
      <c r="O90" s="778"/>
      <c r="P90" s="778"/>
      <c r="Q90" s="778"/>
    </row>
    <row r="91" spans="1:17" ht="25" x14ac:dyDescent="0.35">
      <c r="A91" s="269"/>
      <c r="B91" s="830" t="str">
        <f>'New Conn'!B1482</f>
        <v>2.26 Three phase domestic connection in meter box, Split pre-payment meter. (Connection to an erf, where the development costs has been paid [5kVA]).</v>
      </c>
      <c r="C91" s="222" t="str">
        <f>'New Conn'!H1482</f>
        <v xml:space="preserve">  [Regional - Peri urban]</v>
      </c>
      <c r="D91" s="523">
        <f>'New Conn'!H1512</f>
        <v>11190</v>
      </c>
      <c r="E91" s="606">
        <f t="shared" si="4"/>
        <v>12868.499999999998</v>
      </c>
      <c r="F91" s="380">
        <f>'New Conn'!I1512</f>
        <v>11190</v>
      </c>
      <c r="G91" s="228">
        <f t="shared" si="5"/>
        <v>-0.13043478260869554</v>
      </c>
      <c r="H91" s="229">
        <f t="shared" si="6"/>
        <v>1678.5</v>
      </c>
      <c r="I91" s="562">
        <f t="shared" si="7"/>
        <v>12868.5</v>
      </c>
      <c r="J91" s="271">
        <v>9100033030483</v>
      </c>
      <c r="K91" s="416">
        <f>+$I91*(1+'Unit tariffs'!$F$2)</f>
        <v>13602.004499999999</v>
      </c>
      <c r="L91" s="417">
        <f>+$K91*(1+'Unit tariffs'!$F$2)</f>
        <v>14377.318756499999</v>
      </c>
      <c r="M91" s="417">
        <f>+$L91*(1+'Unit tariffs'!$F$2)</f>
        <v>15196.825925620498</v>
      </c>
      <c r="N91" s="781">
        <f>+$M91*(1+'Unit tariffs'!$F$2)</f>
        <v>16063.045003380867</v>
      </c>
      <c r="O91" s="778"/>
      <c r="P91" s="778"/>
      <c r="Q91" s="778"/>
    </row>
    <row r="92" spans="1:17" ht="15" thickBot="1" x14ac:dyDescent="0.4">
      <c r="A92" s="269"/>
      <c r="B92" s="221"/>
      <c r="C92" s="222"/>
      <c r="D92" s="523"/>
      <c r="E92" s="606"/>
      <c r="F92" s="380"/>
      <c r="G92" s="228"/>
      <c r="H92" s="229"/>
      <c r="I92" s="562"/>
      <c r="J92" s="271"/>
      <c r="K92" s="416"/>
      <c r="L92" s="417"/>
      <c r="M92" s="417"/>
      <c r="N92" s="781"/>
      <c r="O92" s="778"/>
      <c r="P92" s="778"/>
      <c r="Q92" s="778"/>
    </row>
    <row r="93" spans="1:17" ht="15.5" x14ac:dyDescent="0.35">
      <c r="A93" s="396"/>
      <c r="B93" s="262" t="str">
        <f>+B1</f>
        <v>CENTLEC : ELECTRICITY SERVICES COSTS FOR MANGAUNG METRO</v>
      </c>
      <c r="C93" s="263"/>
      <c r="D93" s="529"/>
      <c r="E93" s="606"/>
      <c r="F93" s="370" t="s">
        <v>74</v>
      </c>
      <c r="G93" s="228"/>
      <c r="H93" s="229"/>
      <c r="I93" s="562"/>
      <c r="J93" s="271"/>
      <c r="K93" s="416"/>
      <c r="L93" s="417"/>
      <c r="M93" s="417"/>
      <c r="N93" s="781"/>
      <c r="O93" s="778"/>
      <c r="P93" s="778"/>
      <c r="Q93" s="778"/>
    </row>
    <row r="94" spans="1:17" ht="15.5" x14ac:dyDescent="0.35">
      <c r="A94" s="396"/>
      <c r="B94" s="404"/>
      <c r="C94" s="304"/>
      <c r="D94" s="530"/>
      <c r="E94" s="606"/>
      <c r="F94" s="308" t="s">
        <v>318</v>
      </c>
      <c r="G94" s="228"/>
      <c r="H94" s="229"/>
      <c r="I94" s="562"/>
      <c r="J94" s="271"/>
      <c r="K94" s="416"/>
      <c r="L94" s="417"/>
      <c r="M94" s="417"/>
      <c r="N94" s="781"/>
      <c r="O94" s="778"/>
      <c r="P94" s="778"/>
      <c r="Q94" s="778"/>
    </row>
    <row r="95" spans="1:17" ht="15.5" x14ac:dyDescent="0.35">
      <c r="A95" s="396"/>
      <c r="B95" s="404" t="str">
        <f>'Temp Conn'!B2</f>
        <v xml:space="preserve">3. TEMPORARY CONNECTIONS - MAXIMUM PERIOD OF 12 MONTHS </v>
      </c>
      <c r="C95" s="226"/>
      <c r="D95" s="531"/>
      <c r="E95" s="606"/>
      <c r="F95" s="224"/>
      <c r="G95" s="228"/>
      <c r="H95" s="229"/>
      <c r="I95" s="562"/>
      <c r="J95" s="271"/>
      <c r="K95" s="416"/>
      <c r="L95" s="417"/>
      <c r="M95" s="417"/>
      <c r="N95" s="781"/>
      <c r="O95" s="778"/>
      <c r="P95" s="778"/>
      <c r="Q95" s="778"/>
    </row>
    <row r="96" spans="1:17" ht="26" x14ac:dyDescent="0.35">
      <c r="A96" s="269"/>
      <c r="B96" s="514" t="s">
        <v>623</v>
      </c>
      <c r="C96" s="222"/>
      <c r="D96" s="533"/>
      <c r="E96" s="606"/>
      <c r="F96" s="384"/>
      <c r="G96" s="228"/>
      <c r="H96" s="229"/>
      <c r="I96" s="562"/>
      <c r="J96" s="271"/>
      <c r="K96" s="416"/>
      <c r="L96" s="417"/>
      <c r="M96" s="417"/>
      <c r="N96" s="781"/>
      <c r="O96" s="779"/>
      <c r="P96" s="779"/>
      <c r="Q96" s="779"/>
    </row>
    <row r="97" spans="1:17" x14ac:dyDescent="0.35">
      <c r="A97" s="269"/>
      <c r="B97" s="221"/>
      <c r="C97" s="222"/>
      <c r="D97" s="521"/>
      <c r="E97" s="606"/>
      <c r="F97" s="379"/>
      <c r="G97" s="228"/>
      <c r="H97" s="229"/>
      <c r="I97" s="562"/>
      <c r="J97" s="271"/>
      <c r="K97" s="416"/>
      <c r="L97" s="417"/>
      <c r="M97" s="417"/>
      <c r="N97" s="781"/>
      <c r="O97" s="793"/>
      <c r="P97" s="779"/>
      <c r="Q97" s="779"/>
    </row>
    <row r="98" spans="1:17" x14ac:dyDescent="0.35">
      <c r="A98" s="269"/>
      <c r="B98" s="221" t="str">
        <f>'Temp Conn'!B2</f>
        <v xml:space="preserve">3. TEMPORARY CONNECTIONS - MAXIMUM PERIOD OF 12 MONTHS </v>
      </c>
      <c r="C98" s="222"/>
      <c r="D98" s="521"/>
      <c r="E98" s="606"/>
      <c r="F98" s="379"/>
      <c r="G98" s="228"/>
      <c r="H98" s="229"/>
      <c r="I98" s="562"/>
      <c r="J98" s="271"/>
      <c r="K98" s="416"/>
      <c r="L98" s="417"/>
      <c r="M98" s="417"/>
      <c r="N98" s="781"/>
      <c r="O98" s="778"/>
      <c r="P98" s="778"/>
      <c r="Q98" s="778"/>
    </row>
    <row r="99" spans="1:17" x14ac:dyDescent="0.35">
      <c r="A99" s="269"/>
      <c r="B99" s="221"/>
      <c r="C99" s="688"/>
      <c r="D99" s="521"/>
      <c r="E99" s="606"/>
      <c r="F99" s="380"/>
      <c r="G99" s="228"/>
      <c r="H99" s="229"/>
      <c r="I99" s="562"/>
      <c r="J99" s="271"/>
      <c r="K99" s="416"/>
      <c r="L99" s="417"/>
      <c r="M99" s="417"/>
      <c r="N99" s="781"/>
      <c r="O99" s="779"/>
      <c r="P99" s="779"/>
      <c r="Q99" s="779"/>
    </row>
    <row r="100" spans="1:17" ht="38.5" x14ac:dyDescent="0.35">
      <c r="A100" s="269"/>
      <c r="B100" s="221" t="str">
        <f>'Temp Conn'!B4</f>
        <v>3.1 Temporary BUILDERS underground connection - Three phase 80 Ampère Prepaid meter only.  Please note: These connections would only be permitted  for a maximum period of 12 months after which it will be removed by CENTLEC. (Where a trench is not longer than 12m)</v>
      </c>
      <c r="C100" s="688"/>
      <c r="D100" s="521">
        <f>'Temp Conn'!H42</f>
        <v>27870</v>
      </c>
      <c r="E100" s="606">
        <f t="shared" si="4"/>
        <v>32050.499999999996</v>
      </c>
      <c r="F100" s="380">
        <f>'Temp Conn'!I42</f>
        <v>30220</v>
      </c>
      <c r="G100" s="228">
        <f t="shared" si="5"/>
        <v>-5.7112993557042684E-2</v>
      </c>
      <c r="H100" s="229">
        <f t="shared" si="6"/>
        <v>4533</v>
      </c>
      <c r="I100" s="562">
        <f t="shared" si="7"/>
        <v>34753</v>
      </c>
      <c r="J100" s="271">
        <v>9100033030492</v>
      </c>
      <c r="K100" s="416">
        <f>+$I100*(1+'Unit tariffs'!$F$2)</f>
        <v>36733.920999999995</v>
      </c>
      <c r="L100" s="417">
        <f>+$K100*(1+'Unit tariffs'!$F$2)</f>
        <v>38827.754496999994</v>
      </c>
      <c r="M100" s="417">
        <f>+$L100*(1+'Unit tariffs'!$F$2)</f>
        <v>41040.936503328994</v>
      </c>
      <c r="N100" s="781">
        <f>+$M100*(1+'Unit tariffs'!$F$2)</f>
        <v>43380.269884018744</v>
      </c>
      <c r="O100" s="778"/>
      <c r="P100" s="778"/>
      <c r="Q100" s="778"/>
    </row>
    <row r="101" spans="1:17" x14ac:dyDescent="0.35">
      <c r="A101" s="269"/>
      <c r="B101" s="221"/>
      <c r="C101" s="222"/>
      <c r="D101" s="521"/>
      <c r="E101" s="606"/>
      <c r="F101" s="379"/>
      <c r="G101" s="228"/>
      <c r="H101" s="229"/>
      <c r="I101" s="562"/>
      <c r="J101" s="271"/>
      <c r="K101" s="416"/>
      <c r="L101" s="417"/>
      <c r="M101" s="417"/>
      <c r="N101" s="781"/>
      <c r="O101" s="778"/>
      <c r="P101" s="778"/>
      <c r="Q101" s="778"/>
    </row>
    <row r="102" spans="1:17" ht="39.5" x14ac:dyDescent="0.35">
      <c r="A102" s="269"/>
      <c r="B102" s="227" t="str">
        <f>'Temp Conn'!B50</f>
        <v xml:space="preserve">3.2 Temporary connection for a special events - These temporary connections would only be permitted for Municipality approved special short term events and it would be removed afterwards </v>
      </c>
      <c r="C102" s="222"/>
      <c r="D102" s="520"/>
      <c r="E102" s="606"/>
      <c r="F102" s="220"/>
      <c r="G102" s="228"/>
      <c r="H102" s="229"/>
      <c r="I102" s="562"/>
      <c r="J102" s="271"/>
      <c r="K102" s="416"/>
      <c r="L102" s="417"/>
      <c r="M102" s="417"/>
      <c r="N102" s="781"/>
      <c r="O102" s="778"/>
      <c r="P102" s="778"/>
      <c r="Q102" s="778"/>
    </row>
    <row r="103" spans="1:17" ht="28.5" customHeight="1" x14ac:dyDescent="0.35">
      <c r="A103" s="286"/>
      <c r="B103" s="836" t="str">
        <f>'Temp Conn'!B52</f>
        <v>3.2.1 Temporary connection for a special event - Single phase 80Ampère P/P with over head Airdac. Applicable where NO meter box is required -  Social, Cultural and community events. - Maximum 5 days Only. (Permit letter be attached from Municipality)</v>
      </c>
      <c r="C103" s="226"/>
      <c r="D103" s="521">
        <f>'Temp Conn'!H77</f>
        <v>12100</v>
      </c>
      <c r="E103" s="606">
        <f t="shared" si="4"/>
        <v>13914.999999999998</v>
      </c>
      <c r="F103" s="379">
        <f>'Temp Conn'!I77</f>
        <v>4500</v>
      </c>
      <c r="G103" s="228">
        <f t="shared" si="5"/>
        <v>-0.67660797700323383</v>
      </c>
      <c r="H103" s="229">
        <f t="shared" si="6"/>
        <v>675</v>
      </c>
      <c r="I103" s="562">
        <f t="shared" si="7"/>
        <v>5175</v>
      </c>
      <c r="J103" s="271">
        <v>9100033030495</v>
      </c>
      <c r="K103" s="416">
        <f>+$I103*(1+'Unit tariffs'!$F$2)</f>
        <v>5469.9749999999995</v>
      </c>
      <c r="L103" s="417">
        <f>+$K103*(1+'Unit tariffs'!$F$2)</f>
        <v>5781.763574999999</v>
      </c>
      <c r="M103" s="417">
        <f>+$L103*(1+'Unit tariffs'!$F$2)</f>
        <v>6111.3240987749987</v>
      </c>
      <c r="N103" s="781">
        <f>+$M103*(1+'Unit tariffs'!$F$2)</f>
        <v>6459.6695724051733</v>
      </c>
      <c r="O103" s="778"/>
      <c r="P103" s="778"/>
      <c r="Q103" s="778"/>
    </row>
    <row r="104" spans="1:17" ht="44.25" customHeight="1" x14ac:dyDescent="0.35">
      <c r="A104" s="269"/>
      <c r="B104" s="830" t="str">
        <f>'Temp Conn'!B83</f>
        <v>3.2.2 Temporary connection for a special event - Three phase 80Ampère P/P with over head Airdac. Applicable where NO meter box is required -  Social, Cultural and community events.  - Maximum 5 days Only. (Permit letter be attached from Municipality)</v>
      </c>
      <c r="C104" s="222"/>
      <c r="D104" s="521">
        <f>'Temp Conn'!H108</f>
        <v>12100</v>
      </c>
      <c r="E104" s="606">
        <f t="shared" si="4"/>
        <v>13914.999999999998</v>
      </c>
      <c r="F104" s="379">
        <f>'Temp Conn'!I108</f>
        <v>3190</v>
      </c>
      <c r="G104" s="228">
        <f t="shared" si="5"/>
        <v>-0.77075098814229248</v>
      </c>
      <c r="H104" s="229">
        <f t="shared" si="6"/>
        <v>478.5</v>
      </c>
      <c r="I104" s="562">
        <f t="shared" si="7"/>
        <v>3668.5</v>
      </c>
      <c r="J104" s="271">
        <v>9100033030496</v>
      </c>
      <c r="K104" s="416">
        <f>+$I104*(1+'Unit tariffs'!$F$2)</f>
        <v>3877.6044999999999</v>
      </c>
      <c r="L104" s="417">
        <f>+$K104*(1+'Unit tariffs'!$F$2)</f>
        <v>4098.6279564999995</v>
      </c>
      <c r="M104" s="417">
        <f>+$L104*(1+'Unit tariffs'!$F$2)</f>
        <v>4332.2497500204991</v>
      </c>
      <c r="N104" s="781">
        <f>+$M104*(1+'Unit tariffs'!$F$2)</f>
        <v>4579.1879857716676</v>
      </c>
      <c r="O104" s="779"/>
      <c r="P104" s="779"/>
      <c r="Q104" s="779"/>
    </row>
    <row r="105" spans="1:17" x14ac:dyDescent="0.35">
      <c r="A105" s="269"/>
      <c r="B105" s="830"/>
      <c r="C105" s="222"/>
      <c r="D105" s="521"/>
      <c r="E105" s="606"/>
      <c r="F105" s="379"/>
      <c r="G105" s="228"/>
      <c r="H105" s="229"/>
      <c r="I105" s="562"/>
      <c r="J105" s="271"/>
      <c r="K105" s="416"/>
      <c r="L105" s="417"/>
      <c r="M105" s="417"/>
      <c r="N105" s="781"/>
      <c r="O105" s="779"/>
      <c r="P105" s="779"/>
      <c r="Q105" s="779"/>
    </row>
    <row r="106" spans="1:17" ht="50" x14ac:dyDescent="0.35">
      <c r="A106" s="269"/>
      <c r="B106" s="830" t="str">
        <f>'Temp Conn'!B115</f>
        <v>3.3 Temporary connection for a special event - Single phase 80Ampère P/P- Temporary Church , temporary creches, temporary Car wash ect (where a trench is not longer than 12m) - Maximum 12 months Only. (Permit letter be attached from Municipality and only Subsidised Areas)</v>
      </c>
      <c r="C106" s="222"/>
      <c r="D106" s="521">
        <f>'Temp Conn'!H152</f>
        <v>38910</v>
      </c>
      <c r="E106" s="606">
        <f t="shared" si="4"/>
        <v>44746.5</v>
      </c>
      <c r="F106" s="379">
        <f>'Temp Conn'!I152</f>
        <v>16940</v>
      </c>
      <c r="G106" s="228">
        <f t="shared" si="5"/>
        <v>-0.62142290458471616</v>
      </c>
      <c r="H106" s="229">
        <f t="shared" si="6"/>
        <v>2541</v>
      </c>
      <c r="I106" s="562">
        <f t="shared" si="7"/>
        <v>19481</v>
      </c>
      <c r="J106" s="271">
        <v>9100033030498</v>
      </c>
      <c r="K106" s="416">
        <f>+$I106*(1+'Unit tariffs'!$F$2)</f>
        <v>20591.416999999998</v>
      </c>
      <c r="L106" s="417">
        <f>+$K106*(1+'Unit tariffs'!$F$2)</f>
        <v>21765.127768999995</v>
      </c>
      <c r="M106" s="417">
        <f>+$L106*(1+'Unit tariffs'!$F$2)</f>
        <v>23005.740051832992</v>
      </c>
      <c r="N106" s="781">
        <f>+$M106*(1+'Unit tariffs'!$F$2)</f>
        <v>24317.067234787472</v>
      </c>
      <c r="O106" s="778"/>
      <c r="P106" s="778"/>
      <c r="Q106" s="778"/>
    </row>
    <row r="107" spans="1:17" x14ac:dyDescent="0.35">
      <c r="A107" s="269"/>
      <c r="B107" s="830"/>
      <c r="C107" s="222"/>
      <c r="D107" s="521"/>
      <c r="E107" s="606"/>
      <c r="F107" s="379"/>
      <c r="G107" s="228"/>
      <c r="H107" s="229"/>
      <c r="I107" s="562"/>
      <c r="J107" s="271"/>
      <c r="K107" s="416"/>
      <c r="L107" s="417"/>
      <c r="M107" s="417"/>
      <c r="N107" s="781"/>
      <c r="O107" s="778"/>
      <c r="P107" s="778"/>
      <c r="Q107" s="778"/>
    </row>
    <row r="108" spans="1:17" ht="50" x14ac:dyDescent="0.35">
      <c r="A108" s="269"/>
      <c r="B108" s="830" t="str">
        <f>'Temp Conn'!B155</f>
        <v>3.4 Temporary connection for a special event - Three phase 80Ampère (Subsidised Areas) Temporary connection for a special event - Single phase 80Ampère P/P- Temporary Church , temporary creches, temporary Car wash ect (where a trench is not longer than 12m) - Maximum 12 months Only. (Permit letter be attached from Municipality)</v>
      </c>
      <c r="C108" s="226"/>
      <c r="D108" s="521">
        <f>'Temp Conn'!H191</f>
        <v>38200</v>
      </c>
      <c r="E108" s="606">
        <f t="shared" si="4"/>
        <v>43930</v>
      </c>
      <c r="F108" s="379">
        <f>'Temp Conn'!I191</f>
        <v>34800</v>
      </c>
      <c r="G108" s="228">
        <f t="shared" si="5"/>
        <v>-0.20783063965399498</v>
      </c>
      <c r="H108" s="229">
        <f t="shared" si="6"/>
        <v>5220</v>
      </c>
      <c r="I108" s="562">
        <f t="shared" si="7"/>
        <v>40020</v>
      </c>
      <c r="J108" s="271">
        <v>9100033030500</v>
      </c>
      <c r="K108" s="416">
        <f>+$I108*(1+'Unit tariffs'!$F$2)</f>
        <v>42301.14</v>
      </c>
      <c r="L108" s="417">
        <f>+$K108*(1+'Unit tariffs'!$F$2)</f>
        <v>44712.304979999994</v>
      </c>
      <c r="M108" s="417">
        <f>+$L108*(1+'Unit tariffs'!$F$2)</f>
        <v>47260.906363859991</v>
      </c>
      <c r="N108" s="781">
        <f>+$M108*(1+'Unit tariffs'!$F$2)</f>
        <v>49954.778026600005</v>
      </c>
      <c r="O108" s="778"/>
      <c r="P108" s="778"/>
      <c r="Q108" s="778"/>
    </row>
    <row r="109" spans="1:17" x14ac:dyDescent="0.35">
      <c r="A109" s="269"/>
      <c r="B109" s="241"/>
      <c r="C109" s="222"/>
      <c r="D109" s="521"/>
      <c r="E109" s="606"/>
      <c r="F109" s="379"/>
      <c r="G109" s="228"/>
      <c r="H109" s="229"/>
      <c r="I109" s="562"/>
      <c r="J109" s="271"/>
      <c r="K109" s="416"/>
      <c r="L109" s="417"/>
      <c r="M109" s="417"/>
      <c r="N109" s="781"/>
      <c r="O109" s="778"/>
      <c r="P109" s="778"/>
      <c r="Q109" s="778"/>
    </row>
    <row r="110" spans="1:17" ht="15" thickBot="1" x14ac:dyDescent="0.4">
      <c r="A110" s="364"/>
      <c r="B110" s="278"/>
      <c r="C110" s="279"/>
      <c r="D110" s="524"/>
      <c r="E110" s="606"/>
      <c r="F110" s="284"/>
      <c r="G110" s="228"/>
      <c r="H110" s="229"/>
      <c r="I110" s="562"/>
      <c r="J110" s="271"/>
      <c r="K110" s="416"/>
      <c r="L110" s="417"/>
      <c r="M110" s="417"/>
      <c r="N110" s="781"/>
      <c r="O110" s="778"/>
      <c r="P110" s="778"/>
      <c r="Q110" s="778"/>
    </row>
    <row r="111" spans="1:17" ht="15.5" x14ac:dyDescent="0.35">
      <c r="A111" s="261"/>
      <c r="B111" s="262" t="str">
        <f>B1</f>
        <v>CENTLEC : ELECTRICITY SERVICES COSTS FOR MANGAUNG METRO</v>
      </c>
      <c r="C111" s="263"/>
      <c r="D111" s="534"/>
      <c r="E111" s="606"/>
      <c r="F111" s="267"/>
      <c r="G111" s="228"/>
      <c r="H111" s="229"/>
      <c r="I111" s="562"/>
      <c r="J111" s="271"/>
      <c r="K111" s="416"/>
      <c r="L111" s="417"/>
      <c r="M111" s="417"/>
      <c r="N111" s="781"/>
      <c r="O111" s="778"/>
      <c r="P111" s="778"/>
      <c r="Q111" s="778"/>
    </row>
    <row r="112" spans="1:17" x14ac:dyDescent="0.35">
      <c r="A112" s="286"/>
      <c r="B112" s="287"/>
      <c r="C112" s="288"/>
      <c r="D112" s="530"/>
      <c r="E112" s="606"/>
      <c r="F112" s="308"/>
      <c r="G112" s="228"/>
      <c r="H112" s="229"/>
      <c r="I112" s="562"/>
      <c r="J112" s="271"/>
      <c r="K112" s="416"/>
      <c r="L112" s="417"/>
      <c r="M112" s="417"/>
      <c r="N112" s="781"/>
      <c r="O112" s="778"/>
      <c r="P112" s="778"/>
      <c r="Q112" s="778"/>
    </row>
    <row r="113" spans="1:17" x14ac:dyDescent="0.35">
      <c r="A113" s="269"/>
      <c r="B113" s="307" t="str">
        <f>'Upgrade '!B1</f>
        <v>4. Upgrade Residential</v>
      </c>
      <c r="C113" s="226"/>
      <c r="D113" s="516"/>
      <c r="E113" s="606"/>
      <c r="F113" s="224"/>
      <c r="G113" s="228"/>
      <c r="H113" s="229"/>
      <c r="I113" s="562"/>
      <c r="J113" s="271"/>
      <c r="K113" s="416"/>
      <c r="L113" s="417"/>
      <c r="M113" s="417"/>
      <c r="N113" s="781"/>
      <c r="O113" s="778"/>
      <c r="P113" s="778"/>
      <c r="Q113" s="778"/>
    </row>
    <row r="114" spans="1:17" x14ac:dyDescent="0.35">
      <c r="A114" s="269"/>
      <c r="B114" s="227"/>
      <c r="C114" s="226"/>
      <c r="D114" s="516"/>
      <c r="E114" s="606"/>
      <c r="F114" s="224"/>
      <c r="G114" s="228"/>
      <c r="H114" s="229"/>
      <c r="I114" s="562"/>
      <c r="J114" s="271"/>
      <c r="K114" s="416"/>
      <c r="L114" s="417"/>
      <c r="M114" s="417"/>
      <c r="N114" s="781"/>
      <c r="O114" s="778"/>
      <c r="P114" s="778"/>
      <c r="Q114" s="778"/>
    </row>
    <row r="115" spans="1:17" hidden="1" x14ac:dyDescent="0.35">
      <c r="A115" s="269"/>
      <c r="B115" s="514" t="str">
        <f>'Upgrade '!B3</f>
        <v xml:space="preserve">4.1 Upgrade of single phase Urban connection to three phase - Time of Use Meter(TOU)            </v>
      </c>
      <c r="C115" s="688" t="str">
        <f>'Upgrade '!H3</f>
        <v>[Mangaung]</v>
      </c>
      <c r="D115" s="521">
        <f>'Upgrade '!H36</f>
        <v>21350</v>
      </c>
      <c r="E115" s="606">
        <f t="shared" si="4"/>
        <v>24552.499999999996</v>
      </c>
      <c r="F115" s="379">
        <f>'Upgrade '!I36</f>
        <v>13790</v>
      </c>
      <c r="G115" s="228">
        <f t="shared" si="5"/>
        <v>-0.43834640057020663</v>
      </c>
      <c r="H115" s="229">
        <f t="shared" si="6"/>
        <v>2068.5</v>
      </c>
      <c r="I115" s="562">
        <f t="shared" si="7"/>
        <v>15858.5</v>
      </c>
      <c r="J115" s="271">
        <v>9100033030507</v>
      </c>
      <c r="K115" s="416">
        <f>+$I115*(1+'Unit tariffs'!$F$2)</f>
        <v>16762.434499999999</v>
      </c>
      <c r="L115" s="417">
        <f>+$K115*(1+'Unit tariffs'!$F$2)</f>
        <v>17717.893266499999</v>
      </c>
      <c r="M115" s="417">
        <f>+$L115*(1+'Unit tariffs'!$F$2)</f>
        <v>18727.813182690497</v>
      </c>
      <c r="N115" s="781">
        <f>+$M115*(1+'Unit tariffs'!$F$2)</f>
        <v>19795.298534103855</v>
      </c>
      <c r="O115" s="778"/>
      <c r="P115" s="778"/>
      <c r="Q115" s="778"/>
    </row>
    <row r="116" spans="1:17" ht="19.5" hidden="1" customHeight="1" x14ac:dyDescent="0.35">
      <c r="A116" s="269"/>
      <c r="B116" s="227"/>
      <c r="C116" s="226"/>
      <c r="D116" s="520"/>
      <c r="E116" s="606"/>
      <c r="F116" s="220"/>
      <c r="G116" s="228"/>
      <c r="H116" s="229"/>
      <c r="I116" s="562"/>
      <c r="J116" s="271"/>
      <c r="K116" s="416"/>
      <c r="L116" s="417"/>
      <c r="M116" s="417"/>
      <c r="N116" s="781"/>
      <c r="O116" s="778"/>
      <c r="P116" s="778"/>
      <c r="Q116" s="778"/>
    </row>
    <row r="117" spans="1:17" ht="25" hidden="1" x14ac:dyDescent="0.35">
      <c r="A117" s="269"/>
      <c r="B117" s="221" t="str">
        <f>'Upgrade '!B43</f>
        <v xml:space="preserve">4.2 Upgrade of single phase Urban connection to three phase - Split pre-payment meter             </v>
      </c>
      <c r="C117" s="222" t="str">
        <f>'Upgrade '!H43</f>
        <v>[Mangaung - Urban]</v>
      </c>
      <c r="D117" s="521">
        <f>'Upgrade '!H74</f>
        <v>13670</v>
      </c>
      <c r="E117" s="606">
        <f t="shared" si="4"/>
        <v>15720.499999999998</v>
      </c>
      <c r="F117" s="379">
        <f>'Upgrade '!I74</f>
        <v>14760</v>
      </c>
      <c r="G117" s="228">
        <f t="shared" si="5"/>
        <v>-6.1098565567252842E-2</v>
      </c>
      <c r="H117" s="229">
        <f t="shared" si="6"/>
        <v>2214</v>
      </c>
      <c r="I117" s="562">
        <f t="shared" si="7"/>
        <v>16974</v>
      </c>
      <c r="J117" s="271">
        <v>9100033030509</v>
      </c>
      <c r="K117" s="416">
        <f>+$I117*(1+'Unit tariffs'!$F$2)</f>
        <v>17941.518</v>
      </c>
      <c r="L117" s="417">
        <f>+$K117*(1+'Unit tariffs'!$F$2)</f>
        <v>18964.184525999997</v>
      </c>
      <c r="M117" s="417">
        <f>+$L117*(1+'Unit tariffs'!$F$2)</f>
        <v>20045.143043981996</v>
      </c>
      <c r="N117" s="781">
        <f>+$M117*(1+'Unit tariffs'!$F$2)</f>
        <v>21187.716197488968</v>
      </c>
      <c r="O117" s="778"/>
      <c r="P117" s="778"/>
      <c r="Q117" s="778"/>
    </row>
    <row r="118" spans="1:17" x14ac:dyDescent="0.35">
      <c r="A118" s="269"/>
      <c r="B118" s="221"/>
      <c r="C118" s="222"/>
      <c r="D118" s="521"/>
      <c r="E118" s="606"/>
      <c r="F118" s="379"/>
      <c r="G118" s="228"/>
      <c r="H118" s="229"/>
      <c r="I118" s="562"/>
      <c r="J118" s="271"/>
      <c r="K118" s="416"/>
      <c r="L118" s="417"/>
      <c r="M118" s="417"/>
      <c r="N118" s="781"/>
      <c r="O118" s="778"/>
      <c r="P118" s="778"/>
      <c r="Q118" s="778"/>
    </row>
    <row r="119" spans="1:17" ht="25" x14ac:dyDescent="0.35">
      <c r="A119" s="269"/>
      <c r="B119" s="221" t="str">
        <f>'Upgrade '!B80</f>
        <v xml:space="preserve">4.3 Upgrading of single phase Urban connection to three phase - Time of Use Meter(TOU)            </v>
      </c>
      <c r="C119" s="222" t="str">
        <f>'Upgrade '!H80</f>
        <v>[Regional - Urban]</v>
      </c>
      <c r="D119" s="521">
        <f>'Upgrade '!H112</f>
        <v>18400</v>
      </c>
      <c r="E119" s="606">
        <f t="shared" si="4"/>
        <v>21160</v>
      </c>
      <c r="F119" s="379">
        <f>'Upgrade '!I112</f>
        <v>10460</v>
      </c>
      <c r="G119" s="228">
        <f t="shared" si="5"/>
        <v>-0.50567107750472595</v>
      </c>
      <c r="H119" s="229">
        <f t="shared" si="6"/>
        <v>1569</v>
      </c>
      <c r="I119" s="562">
        <f t="shared" si="7"/>
        <v>12029</v>
      </c>
      <c r="J119" s="271">
        <v>9100033030511</v>
      </c>
      <c r="K119" s="416">
        <f>+$I119*(1+'Unit tariffs'!$F$2)</f>
        <v>12714.652999999998</v>
      </c>
      <c r="L119" s="417">
        <f>+$K119*(1+'Unit tariffs'!$F$2)</f>
        <v>13439.388220999997</v>
      </c>
      <c r="M119" s="417">
        <f>+$L119*(1+'Unit tariffs'!$F$2)</f>
        <v>14205.433349596997</v>
      </c>
      <c r="N119" s="781">
        <f>+$M119*(1+'Unit tariffs'!$F$2)</f>
        <v>15015.143050524024</v>
      </c>
      <c r="O119" s="778"/>
      <c r="P119" s="778"/>
      <c r="Q119" s="778"/>
    </row>
    <row r="120" spans="1:17" x14ac:dyDescent="0.35">
      <c r="A120" s="269"/>
      <c r="B120" s="221"/>
      <c r="C120" s="222"/>
      <c r="D120" s="521"/>
      <c r="E120" s="606"/>
      <c r="F120" s="379"/>
      <c r="G120" s="228"/>
      <c r="H120" s="229"/>
      <c r="I120" s="562"/>
      <c r="J120" s="271"/>
      <c r="K120" s="416"/>
      <c r="L120" s="417"/>
      <c r="M120" s="417"/>
      <c r="N120" s="781"/>
      <c r="O120" s="779"/>
      <c r="P120" s="779"/>
      <c r="Q120" s="779"/>
    </row>
    <row r="121" spans="1:17" ht="25" x14ac:dyDescent="0.35">
      <c r="A121" s="269"/>
      <c r="B121" s="221" t="str">
        <f>'Upgrade '!B119</f>
        <v xml:space="preserve">4.4 Upgrade of single phase Urban connection to three phase - Split pre-payment meter            </v>
      </c>
      <c r="C121" s="222" t="str">
        <f>'Upgrade '!H119</f>
        <v>[Regional - Urban]</v>
      </c>
      <c r="D121" s="521">
        <f>'Upgrade '!H149</f>
        <v>16290</v>
      </c>
      <c r="E121" s="606">
        <f t="shared" si="4"/>
        <v>18733.5</v>
      </c>
      <c r="F121" s="379">
        <f>'Upgrade '!I149</f>
        <v>10090</v>
      </c>
      <c r="G121" s="228">
        <f t="shared" si="5"/>
        <v>-0.46139269223583418</v>
      </c>
      <c r="H121" s="229">
        <f t="shared" si="6"/>
        <v>1513.5</v>
      </c>
      <c r="I121" s="562">
        <f t="shared" si="7"/>
        <v>11603.5</v>
      </c>
      <c r="J121" s="271">
        <v>9100033030513</v>
      </c>
      <c r="K121" s="416">
        <f>+$I121*(1+'Unit tariffs'!$F$2)</f>
        <v>12264.8995</v>
      </c>
      <c r="L121" s="417">
        <f>+$K121*(1+'Unit tariffs'!$F$2)</f>
        <v>12963.998771499999</v>
      </c>
      <c r="M121" s="417">
        <f>+$L121*(1+'Unit tariffs'!$F$2)</f>
        <v>13702.946701475497</v>
      </c>
      <c r="N121" s="781">
        <f>+$M121*(1+'Unit tariffs'!$F$2)</f>
        <v>14484.0146634596</v>
      </c>
      <c r="O121" s="779"/>
      <c r="P121" s="779"/>
      <c r="Q121" s="779"/>
    </row>
    <row r="122" spans="1:17" x14ac:dyDescent="0.35">
      <c r="A122" s="269"/>
      <c r="B122" s="221"/>
      <c r="C122" s="222"/>
      <c r="D122" s="521"/>
      <c r="E122" s="606"/>
      <c r="F122" s="379"/>
      <c r="G122" s="228"/>
      <c r="H122" s="229"/>
      <c r="I122" s="562"/>
      <c r="J122" s="271"/>
      <c r="K122" s="416"/>
      <c r="L122" s="417"/>
      <c r="M122" s="417"/>
      <c r="N122" s="781"/>
      <c r="O122" s="779"/>
      <c r="P122" s="779"/>
      <c r="Q122" s="779"/>
    </row>
    <row r="123" spans="1:17" ht="25" hidden="1" x14ac:dyDescent="0.35">
      <c r="A123" s="269"/>
      <c r="B123" s="221" t="str">
        <f>'Upgrade '!B154</f>
        <v xml:space="preserve">4.5 Upgrade of single phase Peri-Urban connection to three phase -Time of Use Meter(TOU)  </v>
      </c>
      <c r="C123" s="222" t="str">
        <f>'Upgrade '!H154</f>
        <v>[Mangaung - Urban]</v>
      </c>
      <c r="D123" s="521">
        <f>'Upgrade '!H186</f>
        <v>22900</v>
      </c>
      <c r="E123" s="606">
        <f t="shared" si="4"/>
        <v>26334.999999999996</v>
      </c>
      <c r="F123" s="379">
        <f>'Upgrade '!I186</f>
        <v>19730</v>
      </c>
      <c r="G123" s="228">
        <f t="shared" si="5"/>
        <v>-0.25080691095500274</v>
      </c>
      <c r="H123" s="229">
        <f t="shared" si="6"/>
        <v>2959.5</v>
      </c>
      <c r="I123" s="562">
        <f t="shared" si="7"/>
        <v>22689.5</v>
      </c>
      <c r="J123" s="271">
        <v>9100033030515</v>
      </c>
      <c r="K123" s="416">
        <f>+$I123*(1+'Unit tariffs'!$F$2)</f>
        <v>23982.801499999998</v>
      </c>
      <c r="L123" s="417">
        <f>+$K123*(1+'Unit tariffs'!$F$2)</f>
        <v>25349.821185499997</v>
      </c>
      <c r="M123" s="417">
        <f>+$L123*(1+'Unit tariffs'!$F$2)</f>
        <v>26794.760993073494</v>
      </c>
      <c r="N123" s="781">
        <f>+$M123*(1+'Unit tariffs'!$F$2)</f>
        <v>28322.062369678682</v>
      </c>
      <c r="O123" s="779"/>
      <c r="P123" s="779"/>
      <c r="Q123" s="779"/>
    </row>
    <row r="124" spans="1:17" hidden="1" x14ac:dyDescent="0.35">
      <c r="A124" s="269"/>
      <c r="B124" s="221"/>
      <c r="C124" s="222"/>
      <c r="D124" s="521"/>
      <c r="E124" s="606"/>
      <c r="F124" s="379"/>
      <c r="G124" s="228"/>
      <c r="H124" s="229"/>
      <c r="I124" s="562"/>
      <c r="J124" s="271"/>
      <c r="K124" s="416"/>
      <c r="L124" s="417"/>
      <c r="M124" s="417"/>
      <c r="N124" s="781"/>
      <c r="O124" s="779"/>
      <c r="P124" s="779"/>
      <c r="Q124" s="779"/>
    </row>
    <row r="125" spans="1:17" ht="25" hidden="1" x14ac:dyDescent="0.35">
      <c r="A125" s="269"/>
      <c r="B125" s="221" t="str">
        <f>'Upgrade '!B191</f>
        <v xml:space="preserve">4.6 Upgrade of single phase Peri-Urban connection to three phase -Split pre-payment meter    </v>
      </c>
      <c r="C125" s="222" t="str">
        <f>'Upgrade '!H191</f>
        <v>[Mangaung - Peri urban]</v>
      </c>
      <c r="D125" s="521">
        <f>'Upgrade '!H223</f>
        <v>24860</v>
      </c>
      <c r="E125" s="606">
        <f t="shared" si="4"/>
        <v>28588.999999999996</v>
      </c>
      <c r="F125" s="379">
        <f>'Upgrade '!I223</f>
        <v>19730</v>
      </c>
      <c r="G125" s="228">
        <f t="shared" si="5"/>
        <v>-0.30987442722725517</v>
      </c>
      <c r="H125" s="229">
        <f t="shared" si="6"/>
        <v>2959.5</v>
      </c>
      <c r="I125" s="562">
        <f t="shared" si="7"/>
        <v>22689.5</v>
      </c>
      <c r="J125" s="271">
        <v>9100033030517</v>
      </c>
      <c r="K125" s="416">
        <f>+$I125*(1+'Unit tariffs'!$F$2)</f>
        <v>23982.801499999998</v>
      </c>
      <c r="L125" s="417">
        <f>+$K125*(1+'Unit tariffs'!$F$2)</f>
        <v>25349.821185499997</v>
      </c>
      <c r="M125" s="417">
        <f>+$L125*(1+'Unit tariffs'!$F$2)</f>
        <v>26794.760993073494</v>
      </c>
      <c r="N125" s="781">
        <f>+$M125*(1+'Unit tariffs'!$F$2)</f>
        <v>28322.062369678682</v>
      </c>
      <c r="O125" s="778"/>
      <c r="P125" s="778"/>
      <c r="Q125" s="778"/>
    </row>
    <row r="126" spans="1:17" x14ac:dyDescent="0.35">
      <c r="A126" s="269"/>
      <c r="B126" s="221"/>
      <c r="C126" s="222"/>
      <c r="D126" s="520"/>
      <c r="E126" s="606"/>
      <c r="F126" s="220"/>
      <c r="G126" s="228"/>
      <c r="H126" s="229"/>
      <c r="I126" s="562"/>
      <c r="J126" s="271"/>
      <c r="K126" s="416"/>
      <c r="L126" s="417"/>
      <c r="M126" s="417"/>
      <c r="N126" s="781"/>
      <c r="O126" s="778"/>
      <c r="P126" s="778"/>
      <c r="Q126" s="778"/>
    </row>
    <row r="127" spans="1:17" ht="25" x14ac:dyDescent="0.35">
      <c r="A127" s="286"/>
      <c r="B127" s="221" t="str">
        <f>'Upgrade '!B228</f>
        <v xml:space="preserve">4.7 Upgrade of single phase Peri-Urban connection to three phase -Time of Use Meter(TOU)  </v>
      </c>
      <c r="C127" s="222" t="str">
        <f>'Upgrade '!H228</f>
        <v>[Regional - Peri urban]</v>
      </c>
      <c r="D127" s="525">
        <f>'Upgrade '!H260</f>
        <v>23860</v>
      </c>
      <c r="E127" s="606">
        <f t="shared" si="4"/>
        <v>27438.999999999996</v>
      </c>
      <c r="F127" s="382">
        <f>'Upgrade '!I260</f>
        <v>16550</v>
      </c>
      <c r="G127" s="228">
        <f t="shared" si="5"/>
        <v>-0.39684390830569621</v>
      </c>
      <c r="H127" s="229">
        <f t="shared" si="6"/>
        <v>2482.5</v>
      </c>
      <c r="I127" s="562">
        <f t="shared" si="7"/>
        <v>19032.5</v>
      </c>
      <c r="J127" s="271">
        <v>9100033030519</v>
      </c>
      <c r="K127" s="416">
        <f>+$I127*(1+'Unit tariffs'!$F$2)</f>
        <v>20117.352499999997</v>
      </c>
      <c r="L127" s="417">
        <f>+$K127*(1+'Unit tariffs'!$F$2)</f>
        <v>21264.041592499994</v>
      </c>
      <c r="M127" s="417">
        <f>+$L127*(1+'Unit tariffs'!$F$2)</f>
        <v>22476.091963272494</v>
      </c>
      <c r="N127" s="781">
        <f>+$M127*(1+'Unit tariffs'!$F$2)</f>
        <v>23757.229205179025</v>
      </c>
      <c r="O127" s="778"/>
      <c r="P127" s="778"/>
      <c r="Q127" s="778"/>
    </row>
    <row r="128" spans="1:17" x14ac:dyDescent="0.35">
      <c r="A128" s="269"/>
      <c r="B128" s="221"/>
      <c r="C128" s="222"/>
      <c r="D128" s="521"/>
      <c r="E128" s="606"/>
      <c r="F128" s="379"/>
      <c r="G128" s="228"/>
      <c r="H128" s="229"/>
      <c r="I128" s="562"/>
      <c r="J128" s="271"/>
      <c r="K128" s="416"/>
      <c r="L128" s="417"/>
      <c r="M128" s="417"/>
      <c r="N128" s="781"/>
      <c r="O128" s="778"/>
      <c r="P128" s="778"/>
      <c r="Q128" s="778"/>
    </row>
    <row r="129" spans="1:17" ht="29" customHeight="1" x14ac:dyDescent="0.35">
      <c r="A129" s="269"/>
      <c r="B129" s="195" t="str">
        <f>'Upgrade '!B265</f>
        <v xml:space="preserve">4.8 Conversion of single phase Peri-Urban connection to three phase - Split pre-payment meter      </v>
      </c>
      <c r="C129" s="222" t="str">
        <f>'Upgrade '!H265</f>
        <v>[Regional - Peri urban]</v>
      </c>
      <c r="D129" s="521">
        <f>'Upgrade '!H296</f>
        <v>21370</v>
      </c>
      <c r="E129" s="606">
        <f t="shared" si="4"/>
        <v>24575.499999999996</v>
      </c>
      <c r="F129" s="379">
        <f>'Upgrade '!I296</f>
        <v>15780</v>
      </c>
      <c r="G129" s="228">
        <f t="shared" si="5"/>
        <v>-0.35789709263290664</v>
      </c>
      <c r="H129" s="229">
        <f t="shared" si="6"/>
        <v>2367</v>
      </c>
      <c r="I129" s="562">
        <f t="shared" si="7"/>
        <v>18147</v>
      </c>
      <c r="J129" s="271">
        <v>9100033030521</v>
      </c>
      <c r="K129" s="416">
        <f>+$I129*(1+'Unit tariffs'!$F$2)</f>
        <v>19181.378999999997</v>
      </c>
      <c r="L129" s="417">
        <f>+$K129*(1+'Unit tariffs'!$F$2)</f>
        <v>20274.717602999997</v>
      </c>
      <c r="M129" s="417">
        <f>+$L129*(1+'Unit tariffs'!$F$2)</f>
        <v>21430.376506370994</v>
      </c>
      <c r="N129" s="781">
        <f>+$M129*(1+'Unit tariffs'!$F$2)</f>
        <v>22651.90796723414</v>
      </c>
      <c r="O129" s="778"/>
      <c r="P129" s="778"/>
      <c r="Q129" s="778"/>
    </row>
    <row r="130" spans="1:17" ht="15" thickBot="1" x14ac:dyDescent="0.4">
      <c r="A130" s="269"/>
      <c r="C130" s="222"/>
      <c r="D130" s="521"/>
      <c r="E130" s="606"/>
      <c r="F130" s="379"/>
      <c r="G130" s="228"/>
      <c r="H130" s="229"/>
      <c r="I130" s="562"/>
      <c r="J130" s="271"/>
      <c r="K130" s="416"/>
      <c r="L130" s="417"/>
      <c r="M130" s="417"/>
      <c r="N130" s="781"/>
      <c r="O130" s="778"/>
      <c r="P130" s="778"/>
      <c r="Q130" s="778"/>
    </row>
    <row r="131" spans="1:17" ht="16.5" customHeight="1" x14ac:dyDescent="0.35">
      <c r="A131" s="261"/>
      <c r="B131" s="262" t="str">
        <f>$B1</f>
        <v>CENTLEC : ELECTRICITY SERVICES COSTS FOR MANGAUNG METRO</v>
      </c>
      <c r="C131" s="263"/>
      <c r="D131" s="534"/>
      <c r="E131" s="606"/>
      <c r="F131" s="267"/>
      <c r="G131" s="228"/>
      <c r="H131" s="229"/>
      <c r="I131" s="562"/>
      <c r="J131" s="271"/>
      <c r="K131" s="416"/>
      <c r="L131" s="417"/>
      <c r="M131" s="417"/>
      <c r="N131" s="781"/>
      <c r="O131" s="778"/>
      <c r="P131" s="778"/>
      <c r="Q131" s="778"/>
    </row>
    <row r="132" spans="1:17" x14ac:dyDescent="0.35">
      <c r="A132" s="269"/>
      <c r="B132" s="227" t="str">
        <f>'Other Serv'!B2</f>
        <v>Other Services</v>
      </c>
      <c r="C132" s="226"/>
      <c r="D132" s="516"/>
      <c r="E132" s="606"/>
      <c r="F132" s="224"/>
      <c r="G132" s="228"/>
      <c r="H132" s="229"/>
      <c r="I132" s="562"/>
      <c r="J132" s="271"/>
      <c r="K132" s="416"/>
      <c r="L132" s="417"/>
      <c r="M132" s="417"/>
      <c r="N132" s="781"/>
      <c r="O132" s="778"/>
      <c r="P132" s="778"/>
      <c r="Q132" s="778"/>
    </row>
    <row r="133" spans="1:17" x14ac:dyDescent="0.35">
      <c r="A133" s="269"/>
      <c r="B133" s="225"/>
      <c r="C133" s="226"/>
      <c r="D133" s="516"/>
      <c r="E133" s="606"/>
      <c r="F133" s="224"/>
      <c r="G133" s="228"/>
      <c r="H133" s="229"/>
      <c r="I133" s="562"/>
      <c r="J133" s="271"/>
      <c r="K133" s="416"/>
      <c r="L133" s="417"/>
      <c r="M133" s="417"/>
      <c r="N133" s="781"/>
      <c r="O133" s="778"/>
      <c r="P133" s="778"/>
      <c r="Q133" s="778"/>
    </row>
    <row r="134" spans="1:17" x14ac:dyDescent="0.35">
      <c r="A134" s="269"/>
      <c r="B134" s="514" t="str">
        <f>'Other Serv'!B4</f>
        <v>5.  ILLUMINATING SIGNS</v>
      </c>
      <c r="C134" s="226"/>
      <c r="D134" s="521"/>
      <c r="E134" s="606"/>
      <c r="F134" s="224"/>
      <c r="G134" s="228"/>
      <c r="H134" s="229"/>
      <c r="I134" s="562"/>
      <c r="J134" s="271"/>
      <c r="K134" s="416"/>
      <c r="L134" s="417"/>
      <c r="M134" s="417"/>
      <c r="N134" s="781"/>
      <c r="O134" s="778"/>
      <c r="P134" s="778"/>
      <c r="Q134" s="778"/>
    </row>
    <row r="135" spans="1:17" ht="15" thickBot="1" x14ac:dyDescent="0.4">
      <c r="A135" s="293"/>
      <c r="B135" s="837" t="s">
        <v>733</v>
      </c>
      <c r="C135" s="295"/>
      <c r="D135" s="521">
        <f>'Other Serv'!H15</f>
        <v>111</v>
      </c>
      <c r="E135" s="606">
        <f t="shared" si="4"/>
        <v>127.64999999999999</v>
      </c>
      <c r="F135" s="379">
        <f>'Other Serv'!I15</f>
        <v>1656</v>
      </c>
      <c r="G135" s="228">
        <f t="shared" si="5"/>
        <v>11.972972972972974</v>
      </c>
      <c r="H135" s="229">
        <f t="shared" si="6"/>
        <v>248.39999999999998</v>
      </c>
      <c r="I135" s="562">
        <f t="shared" si="7"/>
        <v>1904.4</v>
      </c>
      <c r="J135" s="271">
        <v>9100033030527</v>
      </c>
      <c r="K135" s="416">
        <f>+$I135*(1+'Unit tariffs'!$F$2)</f>
        <v>2012.9508000000001</v>
      </c>
      <c r="L135" s="417">
        <f>+$K135*(1+'Unit tariffs'!$F$2)</f>
        <v>2127.6889956</v>
      </c>
      <c r="M135" s="417">
        <f>+$L135*(1+'Unit tariffs'!$F$2)</f>
        <v>2248.9672683491999</v>
      </c>
      <c r="N135" s="781">
        <f>+$M135*(1+'Unit tariffs'!$F$2)</f>
        <v>2377.1584026451042</v>
      </c>
      <c r="O135" s="778"/>
      <c r="P135" s="778"/>
      <c r="Q135" s="778"/>
    </row>
    <row r="136" spans="1:17" ht="15" thickTop="1" x14ac:dyDescent="0.35">
      <c r="A136" s="286"/>
      <c r="B136" s="287"/>
      <c r="C136" s="288"/>
      <c r="D136" s="525"/>
      <c r="E136" s="606"/>
      <c r="F136" s="382"/>
      <c r="G136" s="228"/>
      <c r="H136" s="229"/>
      <c r="I136" s="562"/>
      <c r="J136" s="271"/>
      <c r="K136" s="416"/>
      <c r="L136" s="417"/>
      <c r="M136" s="417"/>
      <c r="N136" s="781"/>
      <c r="O136" s="778"/>
      <c r="P136" s="778"/>
      <c r="Q136" s="778"/>
    </row>
    <row r="137" spans="1:17" x14ac:dyDescent="0.35">
      <c r="A137" s="269"/>
      <c r="B137" s="221" t="str">
        <f>'Other Serv'!B19</f>
        <v xml:space="preserve">6. Shifting </v>
      </c>
      <c r="C137" s="222"/>
      <c r="D137" s="521"/>
      <c r="E137" s="606"/>
      <c r="F137" s="379"/>
      <c r="G137" s="228"/>
      <c r="H137" s="229"/>
      <c r="I137" s="562"/>
      <c r="J137" s="271"/>
      <c r="K137" s="416"/>
      <c r="L137" s="417"/>
      <c r="M137" s="417"/>
      <c r="N137" s="781"/>
      <c r="O137" s="778"/>
      <c r="P137" s="778"/>
      <c r="Q137" s="778"/>
    </row>
    <row r="138" spans="1:17" x14ac:dyDescent="0.35">
      <c r="A138" s="269"/>
      <c r="B138" s="221" t="str">
        <f>'Other Serv'!B21</f>
        <v>6.1 Shifting of meter to meter box on stand boundary - Domestic connection - Urban</v>
      </c>
      <c r="C138" s="222"/>
      <c r="D138" s="521">
        <f>'Other Serv'!H28</f>
        <v>4980</v>
      </c>
      <c r="E138" s="606">
        <f t="shared" si="4"/>
        <v>5727</v>
      </c>
      <c r="F138" s="379">
        <f>'Other Serv'!I28</f>
        <v>4930</v>
      </c>
      <c r="G138" s="228">
        <f t="shared" si="5"/>
        <v>-0.13916535708049591</v>
      </c>
      <c r="H138" s="229">
        <f t="shared" si="6"/>
        <v>739.5</v>
      </c>
      <c r="I138" s="562">
        <f t="shared" si="7"/>
        <v>5669.5</v>
      </c>
      <c r="J138" s="271">
        <v>9100033030530</v>
      </c>
      <c r="K138" s="416">
        <f>+$I138*(1+'Unit tariffs'!$F$2)</f>
        <v>5992.6614999999993</v>
      </c>
      <c r="L138" s="417">
        <f>+$K138*(1+'Unit tariffs'!$F$2)</f>
        <v>6334.243205499999</v>
      </c>
      <c r="M138" s="417">
        <f>+$L138*(1+'Unit tariffs'!$F$2)</f>
        <v>6695.2950682134988</v>
      </c>
      <c r="N138" s="781">
        <f>+$M138*(1+'Unit tariffs'!$F$2)</f>
        <v>7076.9268871016675</v>
      </c>
      <c r="O138" s="779"/>
      <c r="P138" s="779"/>
      <c r="Q138" s="779"/>
    </row>
    <row r="139" spans="1:17" x14ac:dyDescent="0.35">
      <c r="A139" s="269"/>
      <c r="B139" s="221"/>
      <c r="C139" s="222"/>
      <c r="D139" s="521"/>
      <c r="E139" s="606"/>
      <c r="F139" s="379"/>
      <c r="G139" s="228"/>
      <c r="H139" s="229"/>
      <c r="I139" s="562"/>
      <c r="J139" s="271"/>
      <c r="K139" s="416"/>
      <c r="L139" s="417"/>
      <c r="M139" s="417"/>
      <c r="N139" s="781"/>
      <c r="O139" s="779"/>
      <c r="P139" s="779"/>
      <c r="Q139" s="779"/>
    </row>
    <row r="140" spans="1:17" ht="26" x14ac:dyDescent="0.35">
      <c r="A140" s="269"/>
      <c r="B140" s="221" t="str">
        <f>'Other Serv'!B33</f>
        <v>6.2 Shifting of connection - Pre-payment with ready board (per single connection) - Overhead only</v>
      </c>
      <c r="C140" s="222"/>
      <c r="D140" s="521">
        <f>'Other Serv'!H57</f>
        <v>2760</v>
      </c>
      <c r="E140" s="606">
        <f t="shared" ref="E140:E147" si="8">D140*1.15</f>
        <v>3173.9999999999995</v>
      </c>
      <c r="F140" s="379">
        <f>'Other Serv'!I57</f>
        <v>3440</v>
      </c>
      <c r="G140" s="228">
        <f t="shared" si="5"/>
        <v>8.3805923125393977E-2</v>
      </c>
      <c r="H140" s="229">
        <f t="shared" si="6"/>
        <v>516</v>
      </c>
      <c r="I140" s="562">
        <f t="shared" si="7"/>
        <v>3956</v>
      </c>
      <c r="J140" s="271">
        <v>9100033030532</v>
      </c>
      <c r="K140" s="416">
        <f>+$I140*(1+'Unit tariffs'!$F$2)</f>
        <v>4181.4920000000002</v>
      </c>
      <c r="L140" s="417">
        <f>+$K140*(1+'Unit tariffs'!$F$2)</f>
        <v>4419.8370439999999</v>
      </c>
      <c r="M140" s="417">
        <f>+$L140*(1+'Unit tariffs'!$F$2)</f>
        <v>4671.7677555079999</v>
      </c>
      <c r="N140" s="781">
        <f>+$M140*(1+'Unit tariffs'!$F$2)</f>
        <v>4938.0585175719552</v>
      </c>
      <c r="O140" s="779"/>
      <c r="P140" s="779"/>
      <c r="Q140" s="779"/>
    </row>
    <row r="141" spans="1:17" x14ac:dyDescent="0.35">
      <c r="A141" s="269"/>
      <c r="B141" s="221"/>
      <c r="C141" s="222"/>
      <c r="D141" s="521"/>
      <c r="E141" s="606"/>
      <c r="F141" s="379"/>
      <c r="G141" s="228"/>
      <c r="H141" s="229"/>
      <c r="I141" s="562"/>
      <c r="J141" s="271"/>
      <c r="K141" s="416"/>
      <c r="L141" s="417"/>
      <c r="M141" s="417"/>
      <c r="N141" s="781"/>
      <c r="O141" s="779"/>
      <c r="P141" s="779"/>
      <c r="Q141" s="779"/>
    </row>
    <row r="142" spans="1:17" x14ac:dyDescent="0.35">
      <c r="A142" s="269"/>
      <c r="B142" s="221" t="str">
        <f>'Other Serv'!B64</f>
        <v>7. Hiring of Genset</v>
      </c>
      <c r="C142" s="222"/>
      <c r="D142" s="521">
        <f>'Other Serv'!H86</f>
        <v>14740</v>
      </c>
      <c r="E142" s="606">
        <f t="shared" si="8"/>
        <v>16951</v>
      </c>
      <c r="F142" s="379">
        <f>'Other Serv'!I86</f>
        <v>17920</v>
      </c>
      <c r="G142" s="228">
        <f t="shared" si="5"/>
        <v>5.7164769040174618E-2</v>
      </c>
      <c r="H142" s="229">
        <f t="shared" si="6"/>
        <v>2688</v>
      </c>
      <c r="I142" s="562">
        <f t="shared" si="7"/>
        <v>20608</v>
      </c>
      <c r="J142" s="271">
        <v>9100033030534</v>
      </c>
      <c r="K142" s="416">
        <f>+$I142*(1+'Unit tariffs'!$F$2)</f>
        <v>21782.655999999999</v>
      </c>
      <c r="L142" s="417">
        <f>+$K142*(1+'Unit tariffs'!$F$2)</f>
        <v>23024.267391999998</v>
      </c>
      <c r="M142" s="417">
        <f>+$L142*(1+'Unit tariffs'!$F$2)</f>
        <v>24336.650633343997</v>
      </c>
      <c r="N142" s="781">
        <f>+$M142*(1+'Unit tariffs'!$F$2)</f>
        <v>25723.839719444604</v>
      </c>
      <c r="O142" s="779"/>
      <c r="P142" s="779"/>
      <c r="Q142" s="779"/>
    </row>
    <row r="143" spans="1:17" x14ac:dyDescent="0.35">
      <c r="A143" s="269"/>
      <c r="B143" s="221"/>
      <c r="C143" s="222"/>
      <c r="D143" s="521"/>
      <c r="E143" s="606"/>
      <c r="F143" s="379"/>
      <c r="G143" s="228"/>
      <c r="H143" s="229"/>
      <c r="I143" s="562"/>
      <c r="J143" s="271"/>
      <c r="K143" s="416"/>
      <c r="L143" s="417"/>
      <c r="M143" s="417"/>
      <c r="N143" s="781"/>
      <c r="O143" s="779"/>
      <c r="P143" s="779"/>
      <c r="Q143" s="779"/>
    </row>
    <row r="144" spans="1:17" x14ac:dyDescent="0.35">
      <c r="A144" s="269"/>
      <c r="B144" s="221" t="str">
        <f>'Other Serv'!B95</f>
        <v>8. Conversion of a Meters</v>
      </c>
      <c r="C144" s="222"/>
      <c r="D144" s="521"/>
      <c r="E144" s="606"/>
      <c r="F144" s="379"/>
      <c r="G144" s="228"/>
      <c r="H144" s="229"/>
      <c r="I144" s="562"/>
      <c r="J144" s="271"/>
      <c r="K144" s="416"/>
      <c r="L144" s="417"/>
      <c r="M144" s="417"/>
      <c r="N144" s="781"/>
      <c r="O144" s="779"/>
      <c r="P144" s="779"/>
      <c r="Q144" s="779"/>
    </row>
    <row r="145" spans="1:17" ht="25" x14ac:dyDescent="0.35">
      <c r="A145" s="269"/>
      <c r="B145" s="830" t="str">
        <f>'Other Serv'!B97</f>
        <v>8.1 Conversion of a single register meter to Single phase Pre-payment where meterbox exist on erf boundary - ( No charge for Prepayment  meter)</v>
      </c>
      <c r="C145" s="222"/>
      <c r="D145" s="521">
        <f>'Other Serv'!H120</f>
        <v>2060</v>
      </c>
      <c r="E145" s="606">
        <f t="shared" si="8"/>
        <v>2369</v>
      </c>
      <c r="F145" s="379">
        <f>'Other Serv'!I120</f>
        <v>2330</v>
      </c>
      <c r="G145" s="228">
        <f t="shared" si="5"/>
        <v>-1.6462642465175179E-2</v>
      </c>
      <c r="H145" s="229">
        <f t="shared" si="6"/>
        <v>349.5</v>
      </c>
      <c r="I145" s="562">
        <f t="shared" si="7"/>
        <v>2679.5</v>
      </c>
      <c r="J145" s="271">
        <v>9100033030537</v>
      </c>
      <c r="K145" s="416">
        <f>+$I145*(1+'Unit tariffs'!$F$2)</f>
        <v>2832.2314999999999</v>
      </c>
      <c r="L145" s="417">
        <f>+$K145*(1+'Unit tariffs'!$F$2)</f>
        <v>2993.6686954999996</v>
      </c>
      <c r="M145" s="417">
        <f>+$L145*(1+'Unit tariffs'!$F$2)</f>
        <v>3164.3078111434993</v>
      </c>
      <c r="N145" s="781">
        <f>+$M145*(1+'Unit tariffs'!$F$2)</f>
        <v>3344.6733563786784</v>
      </c>
      <c r="O145" s="779"/>
      <c r="P145" s="779"/>
      <c r="Q145" s="779"/>
    </row>
    <row r="146" spans="1:17" x14ac:dyDescent="0.35">
      <c r="A146" s="269"/>
      <c r="B146" s="221"/>
      <c r="C146" s="222"/>
      <c r="D146" s="521"/>
      <c r="E146" s="606"/>
      <c r="F146" s="379"/>
      <c r="G146" s="228"/>
      <c r="H146" s="229"/>
      <c r="I146" s="562"/>
      <c r="J146" s="271"/>
      <c r="K146" s="416"/>
      <c r="L146" s="417"/>
      <c r="M146" s="417"/>
      <c r="N146" s="781"/>
      <c r="O146" s="779"/>
      <c r="P146" s="779"/>
      <c r="Q146" s="779"/>
    </row>
    <row r="147" spans="1:17" ht="25" x14ac:dyDescent="0.35">
      <c r="A147" s="269"/>
      <c r="B147" s="830" t="str">
        <f>'Other Serv'!B129</f>
        <v>8.2 Conversion of Three phase (TOU/kWH) connection to Prepayment meter - Existing meterbox on erf boundary</v>
      </c>
      <c r="C147" s="222"/>
      <c r="D147" s="521">
        <f>'Other Serv'!H152</f>
        <v>1810</v>
      </c>
      <c r="E147" s="606">
        <f t="shared" si="8"/>
        <v>2081.5</v>
      </c>
      <c r="F147" s="379">
        <f>'Other Serv'!I152</f>
        <v>2030</v>
      </c>
      <c r="G147" s="228">
        <f t="shared" si="5"/>
        <v>-2.4741772760028827E-2</v>
      </c>
      <c r="H147" s="229">
        <f t="shared" si="6"/>
        <v>304.5</v>
      </c>
      <c r="I147" s="562">
        <f t="shared" si="7"/>
        <v>2334.5</v>
      </c>
      <c r="J147" s="271">
        <v>9100033030539</v>
      </c>
      <c r="K147" s="416">
        <f>+$I147*(1+'Unit tariffs'!$F$2)</f>
        <v>2467.5664999999999</v>
      </c>
      <c r="L147" s="417">
        <f>+$K147*(1+'Unit tariffs'!$F$2)</f>
        <v>2608.2177904999999</v>
      </c>
      <c r="M147" s="417">
        <f>+$L147*(1+'Unit tariffs'!$F$2)</f>
        <v>2756.8862045584997</v>
      </c>
      <c r="N147" s="781">
        <f>+$M147*(1+'Unit tariffs'!$F$2)</f>
        <v>2914.0287182183338</v>
      </c>
      <c r="O147" s="779"/>
      <c r="P147" s="779"/>
      <c r="Q147" s="779"/>
    </row>
    <row r="148" spans="1:17" ht="15" thickBot="1" x14ac:dyDescent="0.4">
      <c r="A148" s="269"/>
      <c r="B148" s="221"/>
      <c r="C148" s="222"/>
      <c r="D148" s="521"/>
      <c r="E148" s="606"/>
      <c r="F148" s="379"/>
      <c r="G148" s="228"/>
      <c r="H148" s="229"/>
      <c r="I148" s="562"/>
      <c r="J148" s="271"/>
      <c r="K148" s="416"/>
      <c r="L148" s="417"/>
      <c r="M148" s="417"/>
      <c r="N148" s="781"/>
      <c r="O148" s="779"/>
      <c r="P148" s="779"/>
      <c r="Q148" s="779"/>
    </row>
    <row r="149" spans="1:17" ht="100" x14ac:dyDescent="0.35">
      <c r="A149" s="269"/>
      <c r="B149" s="951" t="s">
        <v>706</v>
      </c>
      <c r="C149" s="979"/>
      <c r="D149" s="248" t="s">
        <v>251</v>
      </c>
      <c r="E149" s="606"/>
      <c r="F149" s="622" t="s">
        <v>344</v>
      </c>
      <c r="G149" s="663" t="s">
        <v>442</v>
      </c>
      <c r="H149" s="229"/>
      <c r="I149" s="562"/>
      <c r="J149" s="271"/>
      <c r="K149" s="416"/>
      <c r="L149" s="417"/>
      <c r="M149" s="417"/>
      <c r="N149" s="781"/>
      <c r="O149" s="779"/>
      <c r="P149" s="779"/>
      <c r="Q149" s="779"/>
    </row>
    <row r="150" spans="1:17" ht="87.5" x14ac:dyDescent="0.35">
      <c r="A150" s="269"/>
      <c r="B150" s="900" t="s">
        <v>707</v>
      </c>
      <c r="C150" s="901"/>
      <c r="D150" s="248" t="s">
        <v>251</v>
      </c>
      <c r="E150" s="606"/>
      <c r="F150" s="622" t="s">
        <v>344</v>
      </c>
      <c r="G150" s="664" t="s">
        <v>344</v>
      </c>
      <c r="H150" s="230"/>
      <c r="I150" s="224"/>
      <c r="J150" s="272"/>
      <c r="K150" s="408"/>
      <c r="L150" s="409"/>
      <c r="M150" s="409"/>
      <c r="N150" s="781"/>
      <c r="O150" s="779"/>
      <c r="P150" s="779"/>
      <c r="Q150" s="779"/>
    </row>
    <row r="151" spans="1:17" ht="100" x14ac:dyDescent="0.35">
      <c r="A151" s="286"/>
      <c r="B151" s="900" t="s">
        <v>708</v>
      </c>
      <c r="C151" s="901"/>
      <c r="D151" s="250" t="s">
        <v>253</v>
      </c>
      <c r="E151" s="606"/>
      <c r="F151" s="622" t="s">
        <v>343</v>
      </c>
      <c r="G151" s="664" t="s">
        <v>343</v>
      </c>
      <c r="H151" s="291"/>
      <c r="I151" s="560"/>
      <c r="J151" s="310"/>
      <c r="K151" s="412"/>
      <c r="L151" s="413"/>
      <c r="M151" s="413"/>
      <c r="N151" s="781"/>
      <c r="O151" s="779"/>
      <c r="P151" s="779"/>
      <c r="Q151" s="779"/>
    </row>
    <row r="152" spans="1:17" ht="100" x14ac:dyDescent="0.35">
      <c r="A152" s="269"/>
      <c r="B152" s="900" t="s">
        <v>709</v>
      </c>
      <c r="C152" s="901"/>
      <c r="D152" s="250" t="s">
        <v>254</v>
      </c>
      <c r="E152" s="606"/>
      <c r="F152" s="622" t="s">
        <v>255</v>
      </c>
      <c r="G152" s="664" t="s">
        <v>255</v>
      </c>
      <c r="H152" s="216"/>
      <c r="I152" s="561"/>
      <c r="J152" s="270"/>
      <c r="K152" s="414"/>
      <c r="L152" s="415"/>
      <c r="M152" s="415"/>
      <c r="N152" s="781"/>
      <c r="O152" s="779"/>
      <c r="P152" s="779"/>
      <c r="Q152" s="779"/>
    </row>
    <row r="153" spans="1:17" ht="100" x14ac:dyDescent="0.35">
      <c r="A153" s="269"/>
      <c r="B153" s="900" t="s">
        <v>710</v>
      </c>
      <c r="C153" s="901"/>
      <c r="D153" s="250" t="s">
        <v>255</v>
      </c>
      <c r="E153" s="538"/>
      <c r="F153" s="622" t="s">
        <v>342</v>
      </c>
      <c r="G153" s="663" t="s">
        <v>342</v>
      </c>
      <c r="H153" s="229"/>
      <c r="I153" s="562"/>
      <c r="J153" s="271"/>
      <c r="K153" s="416"/>
      <c r="L153" s="417"/>
      <c r="M153" s="417"/>
      <c r="N153" s="781"/>
      <c r="O153" s="779"/>
      <c r="P153" s="779"/>
      <c r="Q153" s="779"/>
    </row>
    <row r="154" spans="1:17" x14ac:dyDescent="0.35">
      <c r="A154" s="269"/>
      <c r="B154" s="221"/>
      <c r="C154" s="222"/>
      <c r="D154" s="521"/>
      <c r="E154" s="606"/>
      <c r="F154" s="379"/>
      <c r="G154" s="242"/>
      <c r="H154" s="230"/>
      <c r="I154" s="224"/>
      <c r="J154" s="272"/>
      <c r="K154" s="408"/>
      <c r="L154" s="409"/>
      <c r="M154" s="409"/>
      <c r="N154" s="781"/>
      <c r="O154" s="779"/>
      <c r="P154" s="779"/>
      <c r="Q154" s="779"/>
    </row>
    <row r="155" spans="1:17" x14ac:dyDescent="0.35">
      <c r="A155" s="269"/>
      <c r="B155" s="216"/>
      <c r="C155" s="254"/>
      <c r="D155" s="542"/>
      <c r="E155" s="626"/>
      <c r="F155" s="390"/>
      <c r="G155" s="228"/>
      <c r="H155" s="229"/>
      <c r="I155" s="562"/>
      <c r="J155" s="271"/>
      <c r="K155" s="416"/>
      <c r="L155" s="417"/>
      <c r="M155" s="417"/>
      <c r="N155" s="781"/>
      <c r="O155" s="44"/>
      <c r="P155" s="216"/>
      <c r="Q155" s="216"/>
    </row>
    <row r="156" spans="1:17" ht="30" customHeight="1" x14ac:dyDescent="0.35">
      <c r="A156" s="276" t="s">
        <v>276</v>
      </c>
      <c r="B156" s="221"/>
      <c r="C156" s="254"/>
      <c r="D156" s="542"/>
      <c r="E156" s="626"/>
      <c r="F156" s="258"/>
      <c r="G156" s="228"/>
      <c r="H156" s="229"/>
      <c r="I156" s="562"/>
      <c r="J156" s="271"/>
      <c r="K156" s="416"/>
      <c r="L156" s="417"/>
      <c r="M156" s="417"/>
      <c r="N156" s="781"/>
      <c r="O156" s="44"/>
      <c r="P156" s="216"/>
      <c r="Q156" s="216"/>
    </row>
    <row r="157" spans="1:17" ht="18" customHeight="1" x14ac:dyDescent="0.35">
      <c r="A157" s="269"/>
      <c r="B157" s="216" t="s">
        <v>265</v>
      </c>
      <c r="C157" s="254"/>
      <c r="D157" s="542"/>
      <c r="E157" s="626">
        <v>2665</v>
      </c>
      <c r="F157" s="390">
        <f>+E157*(1+'Unit tariffs'!$F$2)</f>
        <v>2816.9049999999997</v>
      </c>
      <c r="G157" s="228">
        <f t="shared" ref="G157:G159" si="9">(F157-E157)/E157</f>
        <v>5.6999999999999905E-2</v>
      </c>
      <c r="H157" s="229">
        <f t="shared" ref="H157:H159" si="10">F157*H$3</f>
        <v>422.53574999999995</v>
      </c>
      <c r="I157" s="562">
        <f t="shared" ref="I157:I159" si="11">F157+H157</f>
        <v>3239.4407499999998</v>
      </c>
      <c r="J157" s="271">
        <v>9100033030416</v>
      </c>
      <c r="K157" s="416">
        <f>+$I157*(1+'Unit tariffs'!$F$2)</f>
        <v>3424.0888727499996</v>
      </c>
      <c r="L157" s="417">
        <f>+$K157*(1+'Unit tariffs'!$F$2)</f>
        <v>3619.2619384967493</v>
      </c>
      <c r="M157" s="417">
        <f>+$L157*(1+'Unit tariffs'!$F$2)</f>
        <v>3825.5598689910639</v>
      </c>
      <c r="N157" s="781">
        <f>+$M157*(1+'Unit tariffs'!$F$2)</f>
        <v>4043.6167815235544</v>
      </c>
      <c r="O157" s="44"/>
      <c r="P157" s="216"/>
      <c r="Q157" s="216"/>
    </row>
    <row r="158" spans="1:17" x14ac:dyDescent="0.35">
      <c r="A158" s="269"/>
      <c r="B158" s="216" t="s">
        <v>266</v>
      </c>
      <c r="C158" s="254"/>
      <c r="D158" s="542"/>
      <c r="E158" s="626">
        <v>13005.2</v>
      </c>
      <c r="F158" s="390">
        <f>+E158*(1+'Unit tariffs'!$F$2)</f>
        <v>13746.4964</v>
      </c>
      <c r="G158" s="228">
        <f t="shared" si="9"/>
        <v>5.699999999999994E-2</v>
      </c>
      <c r="H158" s="229">
        <f t="shared" si="10"/>
        <v>2061.9744599999999</v>
      </c>
      <c r="I158" s="562">
        <f t="shared" si="11"/>
        <v>15808.470859999999</v>
      </c>
      <c r="J158" s="271">
        <v>9100033030416</v>
      </c>
      <c r="K158" s="416">
        <f>+$I158*(1+'Unit tariffs'!$F$2)</f>
        <v>16709.553699019998</v>
      </c>
      <c r="L158" s="417">
        <f>+$K158*(1+'Unit tariffs'!$F$2)</f>
        <v>17661.998259864136</v>
      </c>
      <c r="M158" s="417">
        <f>+$L158*(1+'Unit tariffs'!$F$2)</f>
        <v>18668.732160676391</v>
      </c>
      <c r="N158" s="781">
        <f>+$M158*(1+'Unit tariffs'!$F$2)</f>
        <v>19732.849893834944</v>
      </c>
      <c r="O158" s="44"/>
      <c r="P158" s="216"/>
      <c r="Q158" s="216"/>
    </row>
    <row r="159" spans="1:17" x14ac:dyDescent="0.35">
      <c r="A159" s="269"/>
      <c r="B159" s="216" t="s">
        <v>267</v>
      </c>
      <c r="C159" s="254"/>
      <c r="D159" s="542"/>
      <c r="E159" s="626">
        <v>65026</v>
      </c>
      <c r="F159" s="390">
        <f>+E159*(1+'Unit tariffs'!$F$2)</f>
        <v>68732.481999999989</v>
      </c>
      <c r="G159" s="228">
        <f t="shared" si="9"/>
        <v>5.6999999999999829E-2</v>
      </c>
      <c r="H159" s="229">
        <f t="shared" si="10"/>
        <v>10309.872299999997</v>
      </c>
      <c r="I159" s="562">
        <f t="shared" si="11"/>
        <v>79042.354299999992</v>
      </c>
      <c r="J159" s="271">
        <v>9100033030416</v>
      </c>
      <c r="K159" s="416">
        <f>+$I159*(1+'Unit tariffs'!$F$2)</f>
        <v>83547.768495099983</v>
      </c>
      <c r="L159" s="417">
        <f>+$K159*(1+'Unit tariffs'!$F$2)</f>
        <v>88309.991299320682</v>
      </c>
      <c r="M159" s="417">
        <f>+$L159*(1+'Unit tariffs'!$F$2)</f>
        <v>93343.66080338195</v>
      </c>
      <c r="N159" s="781">
        <f>+$M159*(1+'Unit tariffs'!$F$2)</f>
        <v>98664.249469174712</v>
      </c>
      <c r="O159" s="44"/>
      <c r="P159" s="216"/>
      <c r="Q159" s="216"/>
    </row>
    <row r="160" spans="1:17" ht="13.25" customHeight="1" x14ac:dyDescent="0.25">
      <c r="A160" s="893" t="s">
        <v>277</v>
      </c>
      <c r="B160" s="894"/>
      <c r="C160" s="895"/>
      <c r="D160" s="254"/>
      <c r="E160" s="626"/>
      <c r="F160" s="254"/>
      <c r="G160" s="228"/>
      <c r="H160" s="254"/>
      <c r="I160" s="580"/>
      <c r="J160" s="352"/>
      <c r="K160" s="434"/>
      <c r="L160" s="435"/>
      <c r="M160" s="435"/>
      <c r="N160" s="792"/>
      <c r="O160" s="44"/>
      <c r="P160" s="216"/>
      <c r="Q160" s="216"/>
    </row>
    <row r="161" spans="1:17" ht="13.25" customHeight="1" x14ac:dyDescent="0.25">
      <c r="A161" s="893" t="s">
        <v>278</v>
      </c>
      <c r="B161" s="894"/>
      <c r="C161" s="895"/>
      <c r="D161" s="254"/>
      <c r="E161" s="626"/>
      <c r="F161" s="254"/>
      <c r="G161" s="260"/>
      <c r="H161" s="254"/>
      <c r="I161" s="580"/>
      <c r="J161" s="352"/>
      <c r="K161" s="434"/>
      <c r="L161" s="435"/>
      <c r="M161" s="435"/>
      <c r="N161" s="792"/>
      <c r="O161" s="44"/>
      <c r="P161" s="216"/>
      <c r="Q161" s="216"/>
    </row>
    <row r="162" spans="1:17" x14ac:dyDescent="0.35">
      <c r="A162" s="269"/>
      <c r="B162" s="221"/>
      <c r="C162" s="222"/>
      <c r="D162" s="217"/>
      <c r="E162" s="605"/>
      <c r="F162" s="217"/>
      <c r="G162" s="219"/>
      <c r="H162" s="216"/>
      <c r="I162" s="581"/>
      <c r="J162" s="270"/>
      <c r="K162" s="414"/>
      <c r="L162" s="415"/>
      <c r="M162" s="415"/>
      <c r="N162" s="780"/>
      <c r="O162" s="44"/>
      <c r="P162" s="216"/>
      <c r="Q162" s="216"/>
    </row>
    <row r="163" spans="1:17" x14ac:dyDescent="0.35">
      <c r="A163" s="276" t="s">
        <v>106</v>
      </c>
      <c r="B163" s="227"/>
      <c r="C163" s="222"/>
      <c r="D163" s="217"/>
      <c r="E163" s="605"/>
      <c r="F163" s="217"/>
      <c r="G163" s="219"/>
      <c r="H163" s="216"/>
      <c r="I163" s="581"/>
      <c r="J163" s="270"/>
      <c r="K163" s="414"/>
      <c r="L163" s="415"/>
      <c r="M163" s="415"/>
      <c r="N163" s="780"/>
      <c r="O163" s="44"/>
      <c r="P163" s="216"/>
      <c r="Q163" s="216"/>
    </row>
    <row r="164" spans="1:17" x14ac:dyDescent="0.35">
      <c r="A164" s="276" t="s">
        <v>130</v>
      </c>
      <c r="B164" s="227"/>
      <c r="C164" s="222"/>
      <c r="D164" s="217"/>
      <c r="E164" s="605"/>
      <c r="F164" s="217"/>
      <c r="G164" s="223"/>
      <c r="H164" s="216"/>
      <c r="I164" s="581"/>
      <c r="J164" s="270"/>
      <c r="K164" s="414"/>
      <c r="L164" s="415"/>
      <c r="M164" s="415"/>
      <c r="N164" s="780"/>
      <c r="O164" s="44"/>
      <c r="P164" s="216"/>
      <c r="Q164" s="216"/>
    </row>
    <row r="165" spans="1:17" ht="19.5" customHeight="1" x14ac:dyDescent="0.35">
      <c r="A165" s="276" t="s">
        <v>107</v>
      </c>
      <c r="B165" s="227"/>
      <c r="C165" s="222"/>
      <c r="D165" s="217"/>
      <c r="E165" s="605"/>
      <c r="F165" s="217"/>
      <c r="G165" s="219"/>
      <c r="H165" s="216"/>
      <c r="I165" s="581"/>
      <c r="J165" s="270"/>
      <c r="K165" s="414"/>
      <c r="L165" s="415"/>
      <c r="M165" s="415"/>
      <c r="N165" s="780"/>
      <c r="O165" s="44"/>
      <c r="P165" s="216"/>
      <c r="Q165" s="216"/>
    </row>
    <row r="166" spans="1:17" ht="18.75" customHeight="1" x14ac:dyDescent="0.35">
      <c r="A166" s="269" t="s">
        <v>110</v>
      </c>
      <c r="B166" s="221"/>
      <c r="C166" s="222"/>
      <c r="D166" s="217"/>
      <c r="E166" s="605"/>
      <c r="F166" s="217"/>
      <c r="G166" s="219"/>
      <c r="H166" s="216"/>
      <c r="I166" s="581"/>
      <c r="J166" s="270"/>
      <c r="K166" s="414"/>
      <c r="L166" s="415"/>
      <c r="M166" s="415"/>
      <c r="N166" s="780"/>
      <c r="O166" s="44"/>
      <c r="P166" s="216"/>
      <c r="Q166" s="216"/>
    </row>
    <row r="167" spans="1:17" x14ac:dyDescent="0.35">
      <c r="A167" s="269"/>
      <c r="B167" s="221"/>
      <c r="C167" s="222"/>
      <c r="D167" s="217"/>
      <c r="E167" s="605"/>
      <c r="F167" s="217"/>
      <c r="G167" s="219"/>
      <c r="H167" s="216"/>
      <c r="I167" s="581"/>
      <c r="J167" s="270"/>
      <c r="K167" s="414"/>
      <c r="L167" s="415"/>
      <c r="M167" s="415"/>
      <c r="N167" s="780"/>
      <c r="O167" s="44"/>
      <c r="P167" s="216"/>
      <c r="Q167" s="216"/>
    </row>
    <row r="168" spans="1:17" x14ac:dyDescent="0.35">
      <c r="A168" s="276" t="s">
        <v>273</v>
      </c>
      <c r="B168" s="221"/>
      <c r="C168" s="222"/>
      <c r="D168" s="217"/>
      <c r="E168" s="605"/>
      <c r="F168" s="217"/>
      <c r="G168" s="219"/>
      <c r="H168" s="216"/>
      <c r="I168" s="581"/>
      <c r="J168" s="270"/>
      <c r="K168" s="414"/>
      <c r="L168" s="415"/>
      <c r="M168" s="415"/>
      <c r="N168" s="780"/>
      <c r="O168" s="44"/>
      <c r="P168" s="216"/>
      <c r="Q168" s="216"/>
    </row>
    <row r="169" spans="1:17" x14ac:dyDescent="0.35">
      <c r="A169" s="276" t="s">
        <v>271</v>
      </c>
      <c r="B169" s="221"/>
      <c r="C169" s="222"/>
      <c r="D169" s="217"/>
      <c r="E169" s="605"/>
      <c r="F169" s="217"/>
      <c r="G169" s="219"/>
      <c r="H169" s="216"/>
      <c r="I169" s="581"/>
      <c r="J169" s="270"/>
      <c r="K169" s="414"/>
      <c r="L169" s="415"/>
      <c r="M169" s="415"/>
      <c r="N169" s="780"/>
      <c r="O169" s="44"/>
      <c r="P169" s="216"/>
      <c r="Q169" s="216"/>
    </row>
    <row r="170" spans="1:17" ht="15" thickBot="1" x14ac:dyDescent="0.4">
      <c r="A170" s="277" t="s">
        <v>272</v>
      </c>
      <c r="B170" s="278"/>
      <c r="C170" s="279"/>
      <c r="D170" s="280"/>
      <c r="E170" s="608"/>
      <c r="F170" s="280"/>
      <c r="G170" s="282"/>
      <c r="H170" s="283"/>
      <c r="I170" s="582"/>
      <c r="J170" s="285"/>
      <c r="K170" s="420"/>
      <c r="L170" s="421"/>
      <c r="M170" s="421"/>
      <c r="N170" s="787"/>
      <c r="O170" s="44"/>
      <c r="P170" s="216"/>
      <c r="Q170" s="216"/>
    </row>
    <row r="171" spans="1:17" x14ac:dyDescent="0.35">
      <c r="F171" s="199"/>
      <c r="I171" s="583"/>
    </row>
    <row r="172" spans="1:17" x14ac:dyDescent="0.35">
      <c r="F172" s="199"/>
      <c r="I172" s="583"/>
    </row>
    <row r="173" spans="1:17" x14ac:dyDescent="0.35">
      <c r="F173" s="199"/>
      <c r="I173" s="583"/>
    </row>
    <row r="174" spans="1:17" x14ac:dyDescent="0.35">
      <c r="I174" s="583"/>
    </row>
    <row r="175" spans="1:17" x14ac:dyDescent="0.35">
      <c r="I175" s="583"/>
    </row>
  </sheetData>
  <mergeCells count="8">
    <mergeCell ref="A160:C160"/>
    <mergeCell ref="A161:C161"/>
    <mergeCell ref="O2:Q5"/>
    <mergeCell ref="B149:C149"/>
    <mergeCell ref="B150:C150"/>
    <mergeCell ref="B151:C151"/>
    <mergeCell ref="B152:C152"/>
    <mergeCell ref="B153:C153"/>
  </mergeCells>
  <pageMargins left="0.25" right="0.25" top="0.75" bottom="0.75" header="0.3" footer="0.3"/>
  <pageSetup paperSize="8" scale="77" fitToHeight="0" orientation="landscape" r:id="rId1"/>
  <headerFooter>
    <oddHeader>&amp;C&amp;"Arial,Bold"&amp;12Approved Electrical Service Tariffs for CENTLEC (SOC) Ltd for the 2023/2024 finincial year</oddHeader>
    <oddFooter>&amp;C&amp;F&amp;R&amp;"Arial,Bold"&amp;12Page &amp;P</oddFooter>
  </headerFooter>
  <rowBreaks count="3" manualBreakCount="3">
    <brk id="92" max="14" man="1"/>
    <brk id="110" max="14" man="1"/>
    <brk id="130" max="14"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T204"/>
  <sheetViews>
    <sheetView view="pageBreakPreview" zoomScale="40" zoomScaleNormal="85" zoomScaleSheetLayoutView="40" workbookViewId="0">
      <pane xSplit="2" ySplit="7" topLeftCell="F8" activePane="bottomRight" state="frozen"/>
      <selection pane="topRight" activeCell="C1" sqref="C1"/>
      <selection pane="bottomLeft" activeCell="A8" sqref="A8"/>
      <selection pane="bottomRight" activeCell="J191" sqref="J191"/>
    </sheetView>
  </sheetViews>
  <sheetFormatPr defaultColWidth="8.90625" defaultRowHeight="14.5" x14ac:dyDescent="0.35"/>
  <cols>
    <col min="1" max="1" width="1.6328125" style="2" customWidth="1"/>
    <col min="2" max="2" width="82.6328125" style="195" customWidth="1"/>
    <col min="3" max="3" width="13" style="197" customWidth="1"/>
    <col min="4" max="4" width="23.36328125" style="199" hidden="1" customWidth="1"/>
    <col min="5" max="5" width="21.36328125" style="199" hidden="1" customWidth="1"/>
    <col min="6" max="6" width="29" style="200" customWidth="1"/>
    <col min="7" max="7" width="30" style="200" customWidth="1"/>
    <col min="8" max="8" width="13" style="196" customWidth="1"/>
    <col min="9" max="9" width="12.36328125" style="2" bestFit="1" customWidth="1"/>
    <col min="10" max="10" width="15" style="584" bestFit="1" customWidth="1"/>
    <col min="11" max="11" width="20.54296875" style="2" customWidth="1"/>
    <col min="12" max="12" width="19" style="2" hidden="1" customWidth="1"/>
    <col min="13" max="14" width="15.453125" style="393" customWidth="1"/>
    <col min="15" max="17" width="15.1796875" style="393" customWidth="1"/>
    <col min="18" max="18" width="14.453125" style="2" customWidth="1"/>
    <col min="19" max="16384" width="8.90625" style="2"/>
  </cols>
  <sheetData>
    <row r="1" spans="1:20" ht="15.5" x14ac:dyDescent="0.35">
      <c r="A1" s="261"/>
      <c r="B1" s="262" t="s">
        <v>468</v>
      </c>
      <c r="C1" s="263"/>
      <c r="D1" s="264"/>
      <c r="E1" s="515" t="s">
        <v>369</v>
      </c>
      <c r="F1" s="601"/>
      <c r="G1" s="267"/>
      <c r="H1" s="265"/>
      <c r="I1" s="266"/>
      <c r="J1" s="559"/>
      <c r="K1" s="268"/>
      <c r="L1" s="394"/>
      <c r="M1" s="407"/>
      <c r="N1" s="407"/>
      <c r="O1" s="407"/>
      <c r="P1" s="407"/>
      <c r="Q1" s="407"/>
      <c r="R1" s="897" t="s">
        <v>622</v>
      </c>
      <c r="S1" s="897"/>
      <c r="T1" s="897"/>
    </row>
    <row r="2" spans="1:20" ht="14.4" customHeight="1" x14ac:dyDescent="0.35">
      <c r="A2" s="269"/>
      <c r="B2" s="221" t="s">
        <v>1</v>
      </c>
      <c r="C2" s="222"/>
      <c r="D2" s="328" t="s">
        <v>317</v>
      </c>
      <c r="E2" s="516" t="s">
        <v>74</v>
      </c>
      <c r="F2" s="602" t="s">
        <v>74</v>
      </c>
      <c r="G2" s="224" t="s">
        <v>74</v>
      </c>
      <c r="H2" s="327" t="s">
        <v>85</v>
      </c>
      <c r="I2" s="52" t="s">
        <v>441</v>
      </c>
      <c r="J2" s="224" t="s">
        <v>138</v>
      </c>
      <c r="K2" s="325" t="s">
        <v>75</v>
      </c>
      <c r="M2" s="667" t="s">
        <v>138</v>
      </c>
      <c r="N2" s="667" t="s">
        <v>138</v>
      </c>
      <c r="O2" s="667" t="s">
        <v>138</v>
      </c>
      <c r="P2" s="667" t="s">
        <v>138</v>
      </c>
      <c r="Q2" s="667" t="s">
        <v>138</v>
      </c>
      <c r="R2" s="897"/>
      <c r="S2" s="897"/>
      <c r="T2" s="897"/>
    </row>
    <row r="3" spans="1:20" x14ac:dyDescent="0.35">
      <c r="A3" s="269"/>
      <c r="B3" s="307" t="s">
        <v>330</v>
      </c>
      <c r="C3" s="226"/>
      <c r="D3" s="328" t="s">
        <v>318</v>
      </c>
      <c r="E3" s="516" t="s">
        <v>318</v>
      </c>
      <c r="F3" s="602" t="s">
        <v>318</v>
      </c>
      <c r="G3" s="224" t="s">
        <v>318</v>
      </c>
      <c r="H3" s="327" t="s">
        <v>86</v>
      </c>
      <c r="I3" s="643">
        <f>+'Unit tariffs'!F$3</f>
        <v>0.15</v>
      </c>
      <c r="J3" s="224" t="s">
        <v>139</v>
      </c>
      <c r="K3" s="325" t="s">
        <v>78</v>
      </c>
      <c r="M3" s="667" t="s">
        <v>139</v>
      </c>
      <c r="N3" s="667" t="s">
        <v>139</v>
      </c>
      <c r="O3" s="667" t="s">
        <v>139</v>
      </c>
      <c r="P3" s="667" t="s">
        <v>139</v>
      </c>
      <c r="Q3" s="667" t="s">
        <v>139</v>
      </c>
      <c r="R3" s="897"/>
      <c r="S3" s="897"/>
      <c r="T3" s="897"/>
    </row>
    <row r="4" spans="1:20" x14ac:dyDescent="0.35">
      <c r="A4" s="269"/>
      <c r="B4" s="221" t="s">
        <v>1</v>
      </c>
      <c r="C4" s="226" t="s">
        <v>328</v>
      </c>
      <c r="D4" s="328" t="s">
        <v>279</v>
      </c>
      <c r="E4" s="516" t="str">
        <f>'Calc Sheet 23_24'!H11</f>
        <v>2025/2026</v>
      </c>
      <c r="F4" s="665" t="str">
        <f>'Calc Sheet 23_24'!$H$11</f>
        <v>2025/2026</v>
      </c>
      <c r="G4" s="224" t="str">
        <f>'Calc Sheet 23_24'!$I$11</f>
        <v>2026/2027</v>
      </c>
      <c r="H4" s="327" t="str">
        <f>G4</f>
        <v>2026/2027</v>
      </c>
      <c r="I4" s="52" t="str">
        <f>G4</f>
        <v>2026/2027</v>
      </c>
      <c r="J4" s="224" t="str">
        <f>I4</f>
        <v>2026/2027</v>
      </c>
      <c r="K4" s="325" t="s">
        <v>79</v>
      </c>
      <c r="M4" s="667" t="s">
        <v>451</v>
      </c>
      <c r="N4" s="667" t="s">
        <v>578</v>
      </c>
      <c r="O4" s="667" t="s">
        <v>579</v>
      </c>
      <c r="P4" s="667" t="s">
        <v>580</v>
      </c>
      <c r="Q4" s="667" t="s">
        <v>620</v>
      </c>
      <c r="R4" s="897"/>
      <c r="S4" s="897"/>
      <c r="T4" s="897"/>
    </row>
    <row r="5" spans="1:20" ht="15" thickBot="1" x14ac:dyDescent="0.4">
      <c r="A5" s="293"/>
      <c r="B5" s="309" t="s">
        <v>1</v>
      </c>
      <c r="C5" s="295" t="s">
        <v>329</v>
      </c>
      <c r="D5" s="331" t="s">
        <v>80</v>
      </c>
      <c r="E5" s="517" t="s">
        <v>80</v>
      </c>
      <c r="F5" s="603" t="s">
        <v>80</v>
      </c>
      <c r="G5" s="334" t="s">
        <v>80</v>
      </c>
      <c r="H5" s="332"/>
      <c r="I5" s="333"/>
      <c r="J5" s="334"/>
      <c r="K5" s="335"/>
      <c r="M5" s="411"/>
      <c r="N5" s="411"/>
      <c r="O5" s="411"/>
      <c r="P5" s="411"/>
      <c r="Q5" s="411"/>
      <c r="R5" s="779" t="s">
        <v>630</v>
      </c>
      <c r="S5" s="779" t="s">
        <v>631</v>
      </c>
      <c r="T5" s="779" t="s">
        <v>632</v>
      </c>
    </row>
    <row r="6" spans="1:20" ht="15" thickTop="1" x14ac:dyDescent="0.35">
      <c r="A6" s="286"/>
      <c r="B6" s="315"/>
      <c r="C6" s="329"/>
      <c r="D6" s="305"/>
      <c r="E6" s="518"/>
      <c r="F6" s="604"/>
      <c r="G6" s="292"/>
      <c r="H6" s="290"/>
      <c r="I6" s="291"/>
      <c r="J6" s="560"/>
      <c r="K6" s="310"/>
      <c r="M6" s="413"/>
      <c r="N6" s="413"/>
      <c r="O6" s="413"/>
      <c r="P6" s="413"/>
      <c r="Q6" s="413"/>
      <c r="R6" s="778"/>
      <c r="S6" s="778"/>
      <c r="T6" s="778"/>
    </row>
    <row r="7" spans="1:20" ht="24" customHeight="1" x14ac:dyDescent="0.35">
      <c r="A7" s="269"/>
      <c r="B7" s="226" t="s">
        <v>624</v>
      </c>
      <c r="C7" s="226"/>
      <c r="D7" s="377"/>
      <c r="E7" s="519"/>
      <c r="F7" s="605"/>
      <c r="G7" s="220"/>
      <c r="H7" s="219"/>
      <c r="I7" s="216"/>
      <c r="J7" s="561"/>
      <c r="K7" s="270"/>
      <c r="M7" s="415"/>
      <c r="N7" s="415"/>
      <c r="O7" s="415"/>
      <c r="P7" s="415"/>
      <c r="Q7" s="780"/>
      <c r="R7" s="778"/>
      <c r="S7" s="778"/>
      <c r="T7" s="778"/>
    </row>
    <row r="8" spans="1:20" ht="20.399999999999999" customHeight="1" x14ac:dyDescent="0.35">
      <c r="A8" s="269"/>
      <c r="B8" s="227" t="str">
        <f>'Calc Sheet 23_24'!B5</f>
        <v>1. NEW SINGLE PHASE CONNECTIONS: URBAN</v>
      </c>
      <c r="C8" s="226"/>
      <c r="D8" s="218"/>
      <c r="E8" s="520"/>
      <c r="F8" s="605"/>
      <c r="G8" s="220"/>
      <c r="H8" s="219"/>
      <c r="I8" s="216"/>
      <c r="J8" s="561"/>
      <c r="K8" s="270"/>
      <c r="M8" s="415"/>
      <c r="N8" s="415"/>
      <c r="O8" s="415"/>
      <c r="P8" s="415"/>
      <c r="Q8" s="780"/>
      <c r="R8" s="778"/>
      <c r="S8" s="778"/>
      <c r="T8" s="778"/>
    </row>
    <row r="9" spans="1:20" x14ac:dyDescent="0.35">
      <c r="A9" s="269"/>
      <c r="B9" s="227"/>
      <c r="C9" s="226"/>
      <c r="D9" s="218"/>
      <c r="E9" s="520"/>
      <c r="F9" s="605"/>
      <c r="G9" s="220"/>
      <c r="H9" s="219"/>
      <c r="I9" s="216"/>
      <c r="J9" s="561"/>
      <c r="K9" s="270"/>
      <c r="M9" s="415"/>
      <c r="N9" s="415"/>
      <c r="O9" s="415"/>
      <c r="P9" s="415"/>
      <c r="Q9" s="780"/>
      <c r="R9" s="778"/>
      <c r="S9" s="778"/>
      <c r="T9" s="778"/>
    </row>
    <row r="10" spans="1:20" ht="26" x14ac:dyDescent="0.35">
      <c r="A10" s="269"/>
      <c r="B10" s="221" t="str">
        <f>'Calc Sheet 23_24'!B7</f>
        <v xml:space="preserve">1.1  Single phase overhead connection with Split Pre-payment meter taken from overhead network   - No Ready board   </v>
      </c>
      <c r="C10" s="222" t="s">
        <v>240</v>
      </c>
      <c r="D10" s="201">
        <f>'Calc Sheet 23_24'!H37</f>
        <v>7150</v>
      </c>
      <c r="E10" s="521">
        <v>6225</v>
      </c>
      <c r="F10" s="606">
        <f>+'Calc Sheet 23_24'!H37</f>
        <v>7150</v>
      </c>
      <c r="G10" s="379">
        <f>'Calc Sheet 23_24'!I37</f>
        <v>7330</v>
      </c>
      <c r="H10" s="228">
        <f>(G10-F10)/F10</f>
        <v>2.5174825174825177E-2</v>
      </c>
      <c r="I10" s="229">
        <f>G10*I$3</f>
        <v>1099.5</v>
      </c>
      <c r="J10" s="562">
        <f>G10+I10</f>
        <v>8429.5</v>
      </c>
      <c r="K10" s="271">
        <v>9100033030416</v>
      </c>
      <c r="M10" s="417">
        <f>J10+L10</f>
        <v>8429.5</v>
      </c>
      <c r="N10" s="417">
        <f>+$M10*(1+'Unit tariffs'!$F$2)</f>
        <v>8909.9814999999999</v>
      </c>
      <c r="O10" s="417">
        <f>+$M10*(1+'Unit tariffs'!$F$2)</f>
        <v>8909.9814999999999</v>
      </c>
      <c r="P10" s="417">
        <f>+$O10*(1+'Unit tariffs'!$F$2)</f>
        <v>9417.8504455000002</v>
      </c>
      <c r="Q10" s="781">
        <f>+$P10*(1+'Unit tariffs'!$F$2)</f>
        <v>9954.6679208935002</v>
      </c>
      <c r="R10" s="779" t="s">
        <v>633</v>
      </c>
      <c r="S10" s="779" t="s">
        <v>633</v>
      </c>
      <c r="T10" s="779" t="s">
        <v>633</v>
      </c>
    </row>
    <row r="11" spans="1:20" x14ac:dyDescent="0.35">
      <c r="A11" s="269"/>
      <c r="B11" s="221"/>
      <c r="C11" s="222"/>
      <c r="D11" s="201"/>
      <c r="E11" s="521"/>
      <c r="F11" s="606"/>
      <c r="G11" s="379"/>
      <c r="H11" s="228"/>
      <c r="I11" s="228"/>
      <c r="J11" s="563"/>
      <c r="K11" s="272"/>
      <c r="M11" s="419"/>
      <c r="N11" s="419"/>
      <c r="O11" s="419"/>
      <c r="P11" s="417"/>
      <c r="Q11" s="781"/>
      <c r="R11" s="779"/>
      <c r="S11" s="779"/>
      <c r="T11" s="779"/>
    </row>
    <row r="12" spans="1:20" ht="26" x14ac:dyDescent="0.35">
      <c r="A12" s="269"/>
      <c r="B12" s="221" t="str">
        <f>'Calc Sheet 23_24'!B50</f>
        <v xml:space="preserve">1.2  Single phase overhead connection with Split Pre-payment meter taken from overhead network   - With Ready board   </v>
      </c>
      <c r="C12" s="222" t="s">
        <v>240</v>
      </c>
      <c r="D12" s="201">
        <f>'Calc Sheet 23_24'!H82</f>
        <v>9280</v>
      </c>
      <c r="E12" s="521">
        <v>1400</v>
      </c>
      <c r="F12" s="606">
        <f>+'Calc Sheet 23_24'!H82</f>
        <v>9280</v>
      </c>
      <c r="G12" s="379">
        <f>'Calc Sheet 23_24'!I82</f>
        <v>8710</v>
      </c>
      <c r="H12" s="228">
        <f>(G12-F12)/F12</f>
        <v>-6.1422413793103446E-2</v>
      </c>
      <c r="I12" s="229">
        <f>G12*I$3</f>
        <v>1306.5</v>
      </c>
      <c r="J12" s="562">
        <f>G12+I12</f>
        <v>10016.5</v>
      </c>
      <c r="K12" s="271">
        <v>9100033030416</v>
      </c>
      <c r="M12" s="417">
        <f>J12+L12</f>
        <v>10016.5</v>
      </c>
      <c r="N12" s="417">
        <f>+$M12*(1+'Unit tariffs'!$F$2)</f>
        <v>10587.440499999999</v>
      </c>
      <c r="O12" s="417">
        <f>+$M12*(1+'Unit tariffs'!$F$2)</f>
        <v>10587.440499999999</v>
      </c>
      <c r="P12" s="417">
        <f>+$O12*(1+'Unit tariffs'!$F$2)</f>
        <v>11190.924608499998</v>
      </c>
      <c r="Q12" s="781">
        <f>+$P12*(1+'Unit tariffs'!$F$2)</f>
        <v>11828.807311184497</v>
      </c>
      <c r="R12" s="779" t="s">
        <v>633</v>
      </c>
      <c r="S12" s="779" t="s">
        <v>633</v>
      </c>
      <c r="T12" s="779" t="s">
        <v>633</v>
      </c>
    </row>
    <row r="13" spans="1:20" x14ac:dyDescent="0.35">
      <c r="A13" s="269"/>
      <c r="B13" s="231"/>
      <c r="C13" s="232"/>
      <c r="D13" s="201"/>
      <c r="E13" s="521"/>
      <c r="F13" s="606"/>
      <c r="G13" s="379"/>
      <c r="H13" s="228"/>
      <c r="I13" s="228"/>
      <c r="J13" s="563"/>
      <c r="K13" s="272"/>
      <c r="M13" s="419"/>
      <c r="N13" s="419"/>
      <c r="O13" s="419"/>
      <c r="P13" s="417"/>
      <c r="Q13" s="781"/>
      <c r="R13" s="779"/>
      <c r="S13" s="779"/>
      <c r="T13" s="779"/>
    </row>
    <row r="14" spans="1:20" ht="26" x14ac:dyDescent="0.35">
      <c r="A14" s="269"/>
      <c r="B14" s="221" t="str">
        <f>+'Calc Sheet 23_24'!B86</f>
        <v xml:space="preserve">1.3  Single phase underground/ovehead connection with Split Pre-payment meter taken from underground/overhead network (Flisp Housing)  - With Ready board   </v>
      </c>
      <c r="C14" s="677" t="s">
        <v>295</v>
      </c>
      <c r="D14" s="201"/>
      <c r="E14" s="521"/>
      <c r="F14" s="606">
        <f>+'Calc Sheet 23_24'!H115</f>
        <v>9900</v>
      </c>
      <c r="G14" s="379">
        <f>+'Calc Sheet 23_24'!I115</f>
        <v>23710</v>
      </c>
      <c r="H14" s="228">
        <f>(G14-F14)/F14</f>
        <v>1.3949494949494949</v>
      </c>
      <c r="I14" s="229">
        <f>G14*I$3</f>
        <v>3556.5</v>
      </c>
      <c r="J14" s="562">
        <f>G14+I14</f>
        <v>27266.5</v>
      </c>
      <c r="K14" s="271">
        <v>9100033030416</v>
      </c>
      <c r="M14" s="417">
        <f>J14+L14</f>
        <v>27266.5</v>
      </c>
      <c r="N14" s="417">
        <f>+$M14*(1+'Unit tariffs'!$F$2)</f>
        <v>28820.690499999997</v>
      </c>
      <c r="O14" s="417">
        <f>+$M14*(1+'Unit tariffs'!$F$2)</f>
        <v>28820.690499999997</v>
      </c>
      <c r="P14" s="417">
        <f>+$O14*(1+'Unit tariffs'!$F$2)</f>
        <v>30463.469858499993</v>
      </c>
      <c r="Q14" s="781">
        <f>+$P14*(1+'Unit tariffs'!$F$2)</f>
        <v>32199.887640434492</v>
      </c>
      <c r="R14" s="779" t="s">
        <v>633</v>
      </c>
      <c r="S14" s="779" t="s">
        <v>633</v>
      </c>
      <c r="T14" s="779" t="s">
        <v>633</v>
      </c>
    </row>
    <row r="15" spans="1:20" x14ac:dyDescent="0.35">
      <c r="A15" s="269"/>
      <c r="B15" s="221"/>
      <c r="C15" s="232"/>
      <c r="D15" s="201"/>
      <c r="E15" s="521"/>
      <c r="F15" s="606"/>
      <c r="G15" s="379"/>
      <c r="H15" s="228"/>
      <c r="I15" s="228"/>
      <c r="J15" s="563"/>
      <c r="K15" s="272"/>
      <c r="M15" s="419"/>
      <c r="N15" s="419"/>
      <c r="O15" s="419"/>
      <c r="P15" s="417"/>
      <c r="Q15" s="781"/>
      <c r="R15" s="779"/>
      <c r="S15" s="779"/>
      <c r="T15" s="779"/>
    </row>
    <row r="16" spans="1:20" ht="26" x14ac:dyDescent="0.35">
      <c r="A16" s="269"/>
      <c r="B16" s="221" t="str">
        <f>'Calc Sheet 23_24'!B119</f>
        <v>1.4  New connection (Permanent) for Church/ Creche with NPO certificate &amp; Proof of Title deeds paper registered with Church/Creche:  Single phase Split Prepaid  meter</v>
      </c>
      <c r="C16" s="222" t="s">
        <v>240</v>
      </c>
      <c r="D16" s="201">
        <f>'Calc Sheet 23_24'!H148</f>
        <v>13800</v>
      </c>
      <c r="E16" s="521">
        <v>1000</v>
      </c>
      <c r="F16" s="606">
        <f>+'Calc Sheet 23_24'!H148</f>
        <v>13800</v>
      </c>
      <c r="G16" s="379">
        <f>'Calc Sheet 23_24'!I148</f>
        <v>31730</v>
      </c>
      <c r="H16" s="228">
        <f>(G16-F16)/F16</f>
        <v>1.2992753623188407</v>
      </c>
      <c r="I16" s="229">
        <f>G16*I$3</f>
        <v>4759.5</v>
      </c>
      <c r="J16" s="562">
        <f>G16+I16</f>
        <v>36489.5</v>
      </c>
      <c r="K16" s="271">
        <v>9100033030416</v>
      </c>
      <c r="M16" s="417">
        <f>J16+L16</f>
        <v>36489.5</v>
      </c>
      <c r="N16" s="417">
        <f>+$M16*(1+'Unit tariffs'!$F$2)</f>
        <v>38569.4015</v>
      </c>
      <c r="O16" s="417">
        <f>+$M16*(1+'Unit tariffs'!$F$2)</f>
        <v>38569.4015</v>
      </c>
      <c r="P16" s="417">
        <f>+$O16*(1+'Unit tariffs'!$F$2)</f>
        <v>40767.8573855</v>
      </c>
      <c r="Q16" s="781">
        <f>+$P16*(1+'Unit tariffs'!$F$2)</f>
        <v>43091.625256473497</v>
      </c>
      <c r="R16" s="779" t="s">
        <v>633</v>
      </c>
      <c r="S16" s="779" t="s">
        <v>633</v>
      </c>
      <c r="T16" s="779" t="s">
        <v>633</v>
      </c>
    </row>
    <row r="17" spans="1:20" x14ac:dyDescent="0.35">
      <c r="A17" s="269"/>
      <c r="B17" s="221"/>
      <c r="C17" s="222"/>
      <c r="D17" s="201"/>
      <c r="E17" s="521"/>
      <c r="F17" s="606"/>
      <c r="G17" s="379"/>
      <c r="H17" s="228"/>
      <c r="I17" s="229"/>
      <c r="J17" s="562"/>
      <c r="K17" s="271"/>
      <c r="M17" s="417"/>
      <c r="N17" s="417"/>
      <c r="O17" s="417"/>
      <c r="P17" s="417"/>
      <c r="Q17" s="781"/>
      <c r="R17" s="779"/>
      <c r="S17" s="779"/>
      <c r="T17" s="779"/>
    </row>
    <row r="18" spans="1:20" ht="32.4" customHeight="1" x14ac:dyDescent="0.35">
      <c r="A18" s="269"/>
      <c r="B18" s="233" t="str">
        <f>+'Calc Sheet 23_24'!B155</f>
        <v>1.5  Single phase domestic connection in meter box placed on stand boundary taken from underground cable network (connection to an erf, where the development costs has been paid) -</v>
      </c>
      <c r="C18" s="222" t="s">
        <v>240</v>
      </c>
      <c r="D18" s="201"/>
      <c r="E18" s="520"/>
      <c r="F18" s="606"/>
      <c r="G18" s="379"/>
      <c r="H18" s="228"/>
      <c r="I18" s="229"/>
      <c r="J18" s="562"/>
      <c r="K18" s="271"/>
      <c r="M18" s="417"/>
      <c r="N18" s="417"/>
      <c r="O18" s="417"/>
      <c r="P18" s="417"/>
      <c r="Q18" s="781"/>
      <c r="R18" s="779"/>
      <c r="S18" s="779"/>
      <c r="T18" s="779"/>
    </row>
    <row r="19" spans="1:20" ht="32.4" customHeight="1" x14ac:dyDescent="0.35">
      <c r="A19" s="269"/>
      <c r="B19" s="233" t="str">
        <f>+'Calc Sheet 23_24'!B157:G157</f>
        <v xml:space="preserve">    1.5.1 Connection in meter box, Single Phase Time of Use kWh meter</v>
      </c>
      <c r="C19" s="222" t="s">
        <v>240</v>
      </c>
      <c r="D19" s="201">
        <v>1620</v>
      </c>
      <c r="E19" s="521">
        <v>2230</v>
      </c>
      <c r="F19" s="606">
        <f>+'Calc Sheet 23_24'!H184</f>
        <v>8580</v>
      </c>
      <c r="G19" s="379">
        <f>+'Calc Sheet 23_24'!I184</f>
        <v>8510</v>
      </c>
      <c r="H19" s="228">
        <f>(G19-F19)/F19</f>
        <v>-8.1585081585081581E-3</v>
      </c>
      <c r="I19" s="229">
        <f>G19*I$3</f>
        <v>1276.5</v>
      </c>
      <c r="J19" s="562">
        <f t="shared" ref="J19:J20" si="0">G19+I19</f>
        <v>9786.5</v>
      </c>
      <c r="K19" s="271">
        <v>9100033030416</v>
      </c>
      <c r="M19" s="417">
        <f t="shared" ref="M19:M20" si="1">J19+L19</f>
        <v>9786.5</v>
      </c>
      <c r="N19" s="417">
        <f>+$M19*(1+'Unit tariffs'!$F$2)</f>
        <v>10344.3305</v>
      </c>
      <c r="O19" s="417">
        <f>+$M19*(1+'Unit tariffs'!$F$2)</f>
        <v>10344.3305</v>
      </c>
      <c r="P19" s="417">
        <f>+$O19*(1+'Unit tariffs'!$F$2)</f>
        <v>10933.957338499999</v>
      </c>
      <c r="Q19" s="781">
        <f>+$P19*(1+'Unit tariffs'!$F$2)</f>
        <v>11557.192906794498</v>
      </c>
      <c r="R19" s="779" t="s">
        <v>633</v>
      </c>
      <c r="S19" s="779" t="s">
        <v>633</v>
      </c>
      <c r="T19" s="779" t="s">
        <v>633</v>
      </c>
    </row>
    <row r="20" spans="1:20" ht="32.4" customHeight="1" x14ac:dyDescent="0.35">
      <c r="A20" s="269"/>
      <c r="B20" s="233" t="str">
        <f>+'Calc Sheet 23_24'!B191:G191</f>
        <v xml:space="preserve">    1.5.2 Connection in meter box, Single phase Split pre-payment meter</v>
      </c>
      <c r="C20" s="222" t="s">
        <v>240</v>
      </c>
      <c r="D20" s="201">
        <v>3180</v>
      </c>
      <c r="E20" s="521">
        <v>4340</v>
      </c>
      <c r="F20" s="606">
        <f>+'Calc Sheet 23_24'!H215</f>
        <v>4980</v>
      </c>
      <c r="G20" s="379">
        <f>+'Calc Sheet 23_24'!I215</f>
        <v>4930</v>
      </c>
      <c r="H20" s="228">
        <f>(G20-F20)/F20</f>
        <v>-1.0040160642570281E-2</v>
      </c>
      <c r="I20" s="229">
        <f>G20*I$3</f>
        <v>739.5</v>
      </c>
      <c r="J20" s="562">
        <f t="shared" si="0"/>
        <v>5669.5</v>
      </c>
      <c r="K20" s="271">
        <v>9100033030416</v>
      </c>
      <c r="M20" s="417">
        <f t="shared" si="1"/>
        <v>5669.5</v>
      </c>
      <c r="N20" s="417">
        <f>+$M20*(1+'Unit tariffs'!$F$2)</f>
        <v>5992.6614999999993</v>
      </c>
      <c r="O20" s="417">
        <f>+$M20*(1+'Unit tariffs'!$F$2)</f>
        <v>5992.6614999999993</v>
      </c>
      <c r="P20" s="417">
        <f>+$O20*(1+'Unit tariffs'!$F$2)</f>
        <v>6334.243205499999</v>
      </c>
      <c r="Q20" s="781">
        <f>+$P20*(1+'Unit tariffs'!$F$2)</f>
        <v>6695.2950682134988</v>
      </c>
      <c r="R20" s="779" t="s">
        <v>633</v>
      </c>
      <c r="S20" s="779" t="s">
        <v>633</v>
      </c>
      <c r="T20" s="779" t="s">
        <v>633</v>
      </c>
    </row>
    <row r="21" spans="1:20" x14ac:dyDescent="0.35">
      <c r="A21" s="269"/>
      <c r="B21" s="233"/>
      <c r="C21" s="222"/>
      <c r="D21" s="201"/>
      <c r="E21" s="521"/>
      <c r="F21" s="606"/>
      <c r="G21" s="379"/>
      <c r="H21" s="228"/>
      <c r="I21" s="229"/>
      <c r="J21" s="562"/>
      <c r="K21" s="271"/>
      <c r="M21" s="417"/>
      <c r="N21" s="417"/>
      <c r="O21" s="417"/>
      <c r="P21" s="417"/>
      <c r="Q21" s="781"/>
      <c r="R21" s="779"/>
      <c r="S21" s="779"/>
      <c r="T21" s="779"/>
    </row>
    <row r="22" spans="1:20" ht="26" x14ac:dyDescent="0.35">
      <c r="A22" s="269"/>
      <c r="B22" s="234" t="str">
        <f>+'Calc Sheet 23_24'!B221</f>
        <v>1.6 Single phase Pre-payment meters for areas that are fully subsidised. (Grants from different departments, e.g USDG, etc)</v>
      </c>
      <c r="C22" s="222" t="s">
        <v>240</v>
      </c>
      <c r="D22" s="201">
        <f>+'Calc Sheet 23_24'!H245</f>
        <v>820</v>
      </c>
      <c r="E22" s="522">
        <v>370</v>
      </c>
      <c r="F22" s="606">
        <f>+'Calc Sheet 23_24'!H245</f>
        <v>820</v>
      </c>
      <c r="G22" s="379">
        <f>+'Calc Sheet 23_24'!I245</f>
        <v>930</v>
      </c>
      <c r="H22" s="228">
        <f>(G22-F22)/F22</f>
        <v>0.13414634146341464</v>
      </c>
      <c r="I22" s="229">
        <f>G22*I$3</f>
        <v>139.5</v>
      </c>
      <c r="J22" s="562">
        <f>G22+I22</f>
        <v>1069.5</v>
      </c>
      <c r="K22" s="271">
        <v>9100033030416</v>
      </c>
      <c r="M22" s="417">
        <f>J22+L22</f>
        <v>1069.5</v>
      </c>
      <c r="N22" s="417">
        <f>+$M22*(1+'Unit tariffs'!$F$2)</f>
        <v>1130.4614999999999</v>
      </c>
      <c r="O22" s="417">
        <f>+$M22*(1+'Unit tariffs'!$F$2)</f>
        <v>1130.4614999999999</v>
      </c>
      <c r="P22" s="417">
        <f>+$O22*(1+'Unit tariffs'!$F$2)</f>
        <v>1194.8978054999998</v>
      </c>
      <c r="Q22" s="781">
        <f>+$P22*(1+'Unit tariffs'!$F$2)</f>
        <v>1263.0069804134996</v>
      </c>
      <c r="R22" s="779" t="s">
        <v>633</v>
      </c>
      <c r="S22" s="779" t="s">
        <v>633</v>
      </c>
      <c r="T22" s="779" t="s">
        <v>633</v>
      </c>
    </row>
    <row r="23" spans="1:20" x14ac:dyDescent="0.35">
      <c r="A23" s="269"/>
      <c r="B23" s="234"/>
      <c r="C23" s="222"/>
      <c r="D23" s="201"/>
      <c r="E23" s="522"/>
      <c r="F23" s="606"/>
      <c r="G23" s="379"/>
      <c r="H23" s="228"/>
      <c r="I23" s="229"/>
      <c r="J23" s="562"/>
      <c r="K23" s="271"/>
      <c r="M23" s="417"/>
      <c r="N23" s="417"/>
      <c r="O23" s="417"/>
      <c r="P23" s="417"/>
      <c r="Q23" s="781"/>
      <c r="R23" s="779"/>
      <c r="S23" s="779"/>
      <c r="T23" s="779"/>
    </row>
    <row r="24" spans="1:20" ht="20.25" customHeight="1" x14ac:dyDescent="0.35">
      <c r="A24" s="269"/>
      <c r="B24" s="221" t="str">
        <f>+'Calc Sheet 23_24'!B252</f>
        <v xml:space="preserve">1.7  Subdivision  (Domestic) -  Urban area: </v>
      </c>
      <c r="C24" s="222"/>
      <c r="D24" s="201"/>
      <c r="E24" s="521"/>
      <c r="F24" s="606"/>
      <c r="G24" s="379"/>
      <c r="H24" s="228"/>
      <c r="I24" s="229"/>
      <c r="J24" s="562"/>
      <c r="K24" s="271"/>
      <c r="M24" s="417"/>
      <c r="N24" s="417"/>
      <c r="O24" s="417"/>
      <c r="P24" s="417"/>
      <c r="Q24" s="781"/>
      <c r="R24" s="779"/>
      <c r="S24" s="779"/>
      <c r="T24" s="779"/>
    </row>
    <row r="25" spans="1:20" ht="30.75" customHeight="1" x14ac:dyDescent="0.35">
      <c r="A25" s="269"/>
      <c r="B25" s="706" t="str">
        <f>+'Calc Sheet 23_24'!B254</f>
        <v xml:space="preserve">    1.7.1 Subdivision Urban Area:  A new Single Phase Split pre-payment meter for domestic connection </v>
      </c>
      <c r="C25" s="222" t="s">
        <v>240</v>
      </c>
      <c r="D25" s="201">
        <f>+'Calc Sheet 23_24'!H283</f>
        <v>19450</v>
      </c>
      <c r="E25" s="521">
        <v>15780</v>
      </c>
      <c r="F25" s="606">
        <f>+'Calc Sheet 23_24'!H283</f>
        <v>19450</v>
      </c>
      <c r="G25" s="379">
        <f>+'Calc Sheet 23_24'!I283</f>
        <v>21290</v>
      </c>
      <c r="H25" s="228">
        <f>(G25-F25)/F25</f>
        <v>9.4601542416452439E-2</v>
      </c>
      <c r="I25" s="229">
        <f>G25*I$3</f>
        <v>3193.5</v>
      </c>
      <c r="J25" s="562">
        <f>G25+I25</f>
        <v>24483.5</v>
      </c>
      <c r="K25" s="273">
        <v>9100033030416</v>
      </c>
      <c r="M25" s="417">
        <f>J25+L25</f>
        <v>24483.5</v>
      </c>
      <c r="N25" s="417">
        <f>+$M25*(1+'Unit tariffs'!$F$2)</f>
        <v>25879.059499999999</v>
      </c>
      <c r="O25" s="417">
        <f>+$M25*(1+'Unit tariffs'!$F$2)</f>
        <v>25879.059499999999</v>
      </c>
      <c r="P25" s="417">
        <f>+$O25*(1+'Unit tariffs'!$F$2)</f>
        <v>27354.165891499997</v>
      </c>
      <c r="Q25" s="781">
        <f>+$P25*(1+'Unit tariffs'!$F$2)</f>
        <v>28913.353347315497</v>
      </c>
      <c r="R25" s="779" t="s">
        <v>633</v>
      </c>
      <c r="S25" s="779" t="s">
        <v>633</v>
      </c>
      <c r="T25" s="779" t="s">
        <v>633</v>
      </c>
    </row>
    <row r="26" spans="1:20" x14ac:dyDescent="0.35">
      <c r="A26" s="338"/>
      <c r="B26" s="339"/>
      <c r="C26" s="340"/>
      <c r="D26" s="678"/>
      <c r="E26" s="679"/>
      <c r="F26" s="680"/>
      <c r="G26" s="681"/>
      <c r="H26" s="228"/>
      <c r="I26" s="229"/>
      <c r="J26" s="562"/>
      <c r="K26" s="685"/>
      <c r="M26" s="417"/>
      <c r="N26" s="417"/>
      <c r="O26" s="417"/>
      <c r="P26" s="417"/>
      <c r="Q26" s="781"/>
      <c r="R26" s="779"/>
      <c r="S26" s="779"/>
      <c r="T26" s="779"/>
    </row>
    <row r="27" spans="1:20" ht="38.5" x14ac:dyDescent="0.35">
      <c r="A27" s="269"/>
      <c r="B27" s="221" t="str">
        <f>+'Calc Sheet 23_24'!B291</f>
        <v>1.8 Additional Meters:  New 1ph  Split pre-paid meter connection- limited up to 500kVA, LV per Erf. Cost estimates will be compiled based on the quantiry of meters required and Network contribution will be levied as per ruling R/kVA.</v>
      </c>
      <c r="C27" s="222" t="s">
        <v>240</v>
      </c>
      <c r="D27" s="235">
        <f>+'Calc Sheet 23_24'!H291</f>
        <v>0</v>
      </c>
      <c r="E27" s="523"/>
      <c r="F27" s="607" t="e">
        <f>'Summary Mangaung 2026_27'!#REF!</f>
        <v>#REF!</v>
      </c>
      <c r="G27" s="380" t="e">
        <f>'Summary Mangaung 2026_27'!#REF!</f>
        <v>#REF!</v>
      </c>
      <c r="H27" s="228" t="e">
        <f t="shared" ref="H27" si="2">(G27-F27)/F27</f>
        <v>#REF!</v>
      </c>
      <c r="I27" s="229" t="e">
        <f t="shared" ref="I27" si="3">G27*I$3</f>
        <v>#REF!</v>
      </c>
      <c r="J27" s="562" t="e">
        <f t="shared" ref="J27" si="4">G27+I27</f>
        <v>#REF!</v>
      </c>
      <c r="K27" s="270"/>
      <c r="M27" s="417" t="e">
        <f t="shared" ref="M27" si="5">J27+L27</f>
        <v>#REF!</v>
      </c>
      <c r="N27" s="417" t="e">
        <f>+$M27*(1+'Unit tariffs'!$F$2)</f>
        <v>#REF!</v>
      </c>
      <c r="O27" s="417" t="e">
        <f>+$M27*(1+'Unit tariffs'!$F$2)</f>
        <v>#REF!</v>
      </c>
      <c r="P27" s="417" t="e">
        <f>+$O27*(1+'Unit tariffs'!$F$2)</f>
        <v>#REF!</v>
      </c>
      <c r="Q27" s="781" t="e">
        <f>+$P27*(1+'Unit tariffs'!$F$2)</f>
        <v>#REF!</v>
      </c>
      <c r="R27" s="779" t="s">
        <v>635</v>
      </c>
      <c r="S27" s="779" t="s">
        <v>633</v>
      </c>
      <c r="T27" s="779" t="s">
        <v>633</v>
      </c>
    </row>
    <row r="28" spans="1:20" x14ac:dyDescent="0.35">
      <c r="A28" s="338"/>
      <c r="B28" s="339"/>
      <c r="C28" s="340"/>
      <c r="D28" s="678"/>
      <c r="E28" s="679"/>
      <c r="F28" s="680"/>
      <c r="G28" s="681"/>
      <c r="H28" s="682"/>
      <c r="I28" s="683"/>
      <c r="J28" s="684"/>
      <c r="K28" s="685"/>
      <c r="M28" s="687"/>
      <c r="N28" s="687"/>
      <c r="O28" s="687"/>
      <c r="P28" s="417"/>
      <c r="Q28" s="781"/>
      <c r="R28" s="779"/>
      <c r="S28" s="779"/>
      <c r="T28" s="779"/>
    </row>
    <row r="29" spans="1:20" ht="15" thickBot="1" x14ac:dyDescent="0.4">
      <c r="A29" s="364"/>
      <c r="B29" s="365"/>
      <c r="C29" s="366"/>
      <c r="D29" s="281"/>
      <c r="E29" s="524"/>
      <c r="F29" s="608"/>
      <c r="G29" s="284"/>
      <c r="H29" s="282"/>
      <c r="I29" s="283"/>
      <c r="J29" s="564"/>
      <c r="K29" s="367"/>
      <c r="L29" s="395"/>
      <c r="M29" s="421"/>
      <c r="N29" s="421"/>
      <c r="O29" s="421"/>
      <c r="P29" s="417"/>
      <c r="Q29" s="781"/>
      <c r="R29" s="779"/>
      <c r="S29" s="779"/>
      <c r="T29" s="779"/>
    </row>
    <row r="30" spans="1:20" x14ac:dyDescent="0.35">
      <c r="A30" s="286"/>
      <c r="B30" s="287" t="str">
        <f>'Calc Sheet 23_24'!B353</f>
        <v>2. NEW THREE PHASE DOMESTIC CONNECTIONS: URBAN</v>
      </c>
      <c r="C30" s="329"/>
      <c r="D30" s="330"/>
      <c r="E30" s="518"/>
      <c r="F30" s="604"/>
      <c r="G30" s="305"/>
      <c r="H30" s="290"/>
      <c r="I30" s="291"/>
      <c r="J30" s="560"/>
      <c r="K30" s="291"/>
      <c r="L30" s="291"/>
      <c r="M30" s="412"/>
      <c r="N30" s="412"/>
      <c r="O30" s="412"/>
      <c r="P30" s="417"/>
      <c r="Q30" s="781"/>
      <c r="R30" s="779"/>
      <c r="S30" s="779"/>
      <c r="T30" s="779"/>
    </row>
    <row r="31" spans="1:20" x14ac:dyDescent="0.35">
      <c r="A31" s="286"/>
      <c r="B31" s="227"/>
      <c r="C31" s="222"/>
      <c r="D31" s="217"/>
      <c r="E31" s="520"/>
      <c r="F31" s="605"/>
      <c r="G31" s="218"/>
      <c r="H31" s="219"/>
      <c r="I31" s="216"/>
      <c r="J31" s="561"/>
      <c r="K31" s="216"/>
      <c r="L31" s="216"/>
      <c r="M31" s="414"/>
      <c r="N31" s="414"/>
      <c r="O31" s="414"/>
      <c r="P31" s="417"/>
      <c r="Q31" s="781"/>
      <c r="R31" s="779"/>
      <c r="S31" s="779"/>
      <c r="T31" s="779"/>
    </row>
    <row r="32" spans="1:20" ht="26.5" x14ac:dyDescent="0.35">
      <c r="A32" s="286"/>
      <c r="B32" s="225" t="str">
        <f>+'Calc Sheet 23_24'!B355</f>
        <v>Three phase connection in meter box placed on stand boundary taken from underground cable network.</v>
      </c>
      <c r="C32" s="288"/>
      <c r="D32" s="289"/>
      <c r="E32" s="525"/>
      <c r="F32" s="609"/>
      <c r="G32" s="382"/>
      <c r="H32" s="290"/>
      <c r="I32" s="291"/>
      <c r="J32" s="560"/>
      <c r="K32" s="310"/>
      <c r="M32" s="413"/>
      <c r="N32" s="413"/>
      <c r="O32" s="413"/>
      <c r="P32" s="417"/>
      <c r="Q32" s="781"/>
      <c r="R32" s="779"/>
      <c r="S32" s="779"/>
      <c r="T32" s="779"/>
    </row>
    <row r="33" spans="1:20" ht="12" customHeight="1" x14ac:dyDescent="0.35">
      <c r="A33" s="269"/>
      <c r="B33" s="221"/>
      <c r="C33" s="222"/>
      <c r="D33" s="236"/>
      <c r="E33" s="526"/>
      <c r="F33" s="610"/>
      <c r="G33" s="383"/>
      <c r="H33" s="237"/>
      <c r="I33" s="238"/>
      <c r="J33" s="565"/>
      <c r="K33" s="274"/>
      <c r="M33" s="415"/>
      <c r="N33" s="415"/>
      <c r="O33" s="415"/>
      <c r="P33" s="417"/>
      <c r="Q33" s="781"/>
      <c r="R33" s="779"/>
      <c r="S33" s="779"/>
      <c r="T33" s="779"/>
    </row>
    <row r="34" spans="1:20" hidden="1" x14ac:dyDescent="0.35">
      <c r="A34" s="269"/>
      <c r="B34" s="221" t="str">
        <f>+'Calc Sheet 23_24'!B357</f>
        <v xml:space="preserve">2.1 Three phase domestic connection (80A) in meter box,  Time of use (TOU) meter    </v>
      </c>
      <c r="C34" s="222" t="s">
        <v>340</v>
      </c>
      <c r="D34" s="201">
        <f>+'Calc Sheet 23_24'!H390</f>
        <v>24470</v>
      </c>
      <c r="E34" s="521">
        <v>18370</v>
      </c>
      <c r="F34" s="606">
        <v>18710</v>
      </c>
      <c r="G34" s="379">
        <f>+'Calc Sheet 23_24'!I390</f>
        <v>15770</v>
      </c>
      <c r="H34" s="228">
        <f>(G34-F34)/F34</f>
        <v>-0.15713522180652056</v>
      </c>
      <c r="I34" s="229">
        <f>G34*I$3</f>
        <v>2365.5</v>
      </c>
      <c r="J34" s="562">
        <f>G34+I34</f>
        <v>18135.5</v>
      </c>
      <c r="K34" s="271">
        <v>9100033030416</v>
      </c>
      <c r="M34" s="417">
        <f>J34+L34</f>
        <v>18135.5</v>
      </c>
      <c r="N34" s="417">
        <f>+$M34*(1+'Unit tariffs'!$F$2)</f>
        <v>19169.2235</v>
      </c>
      <c r="O34" s="417">
        <f>+$M34*(1+'Unit tariffs'!$F$2)</f>
        <v>19169.2235</v>
      </c>
      <c r="P34" s="417">
        <f>+$O34*(1+'Unit tariffs'!$F$2)</f>
        <v>20261.8692395</v>
      </c>
      <c r="Q34" s="781">
        <f>+$O34*(1+'Unit tariffs'!$F$2)</f>
        <v>20261.8692395</v>
      </c>
      <c r="R34" s="779" t="s">
        <v>633</v>
      </c>
      <c r="S34" s="779" t="s">
        <v>633</v>
      </c>
      <c r="T34" s="779" t="s">
        <v>633</v>
      </c>
    </row>
    <row r="35" spans="1:20" hidden="1" x14ac:dyDescent="0.35">
      <c r="A35" s="269"/>
      <c r="B35" s="221"/>
      <c r="C35" s="222"/>
      <c r="D35" s="201"/>
      <c r="E35" s="521"/>
      <c r="F35" s="606"/>
      <c r="G35" s="379"/>
      <c r="H35" s="219"/>
      <c r="I35" s="216"/>
      <c r="J35" s="561"/>
      <c r="K35" s="270"/>
      <c r="M35" s="415"/>
      <c r="N35" s="415"/>
      <c r="O35" s="415"/>
      <c r="P35" s="417">
        <f>+$O35*(1+'Unit tariffs'!$F$2)</f>
        <v>0</v>
      </c>
      <c r="Q35" s="781">
        <f>+$O35*(1+'Unit tariffs'!$F$2)</f>
        <v>0</v>
      </c>
      <c r="R35" s="779" t="s">
        <v>633</v>
      </c>
      <c r="S35" s="779" t="s">
        <v>633</v>
      </c>
      <c r="T35" s="779" t="s">
        <v>633</v>
      </c>
    </row>
    <row r="36" spans="1:20" x14ac:dyDescent="0.35">
      <c r="A36" s="269"/>
      <c r="B36" s="221" t="str">
        <f>+'Calc Sheet 23_24'!B398</f>
        <v xml:space="preserve">2.2 Three phase connection (80A) in meter box,  Time of use (TOU) meter                                               </v>
      </c>
      <c r="C36" s="226" t="s">
        <v>341</v>
      </c>
      <c r="D36" s="201">
        <f>+'Calc Sheet 23_24'!H428</f>
        <v>19670</v>
      </c>
      <c r="E36" s="521">
        <v>15725</v>
      </c>
      <c r="F36" s="606">
        <f>+'Calc Sheet 23_24'!H428</f>
        <v>19670</v>
      </c>
      <c r="G36" s="379">
        <f>+'Calc Sheet 23_24'!I428</f>
        <v>11900</v>
      </c>
      <c r="H36" s="228">
        <f>(G36-F36)/F36</f>
        <v>-0.39501779359430605</v>
      </c>
      <c r="I36" s="229">
        <f>G36*I$3</f>
        <v>1785</v>
      </c>
      <c r="J36" s="562">
        <f>G36+I36</f>
        <v>13685</v>
      </c>
      <c r="K36" s="271">
        <v>9100033030416</v>
      </c>
      <c r="M36" s="417">
        <f>J36+L36</f>
        <v>13685</v>
      </c>
      <c r="N36" s="417">
        <f>+$M36*(1+'Unit tariffs'!$F$2)</f>
        <v>14465.045</v>
      </c>
      <c r="O36" s="417">
        <f>+$M36*(1+'Unit tariffs'!$F$2)</f>
        <v>14465.045</v>
      </c>
      <c r="P36" s="417">
        <f>+$O36*(1+'Unit tariffs'!$F$2)</f>
        <v>15289.552565</v>
      </c>
      <c r="Q36" s="781">
        <f>+$O36*(1+'Unit tariffs'!$F$2)</f>
        <v>15289.552565</v>
      </c>
      <c r="R36" s="779" t="s">
        <v>633</v>
      </c>
      <c r="S36" s="779" t="s">
        <v>633</v>
      </c>
      <c r="T36" s="779" t="s">
        <v>633</v>
      </c>
    </row>
    <row r="37" spans="1:20" x14ac:dyDescent="0.35">
      <c r="A37" s="269"/>
      <c r="B37" s="221"/>
      <c r="C37" s="222" t="s">
        <v>240</v>
      </c>
      <c r="D37" s="236"/>
      <c r="E37" s="526"/>
      <c r="F37" s="606"/>
      <c r="G37" s="383"/>
      <c r="H37" s="237"/>
      <c r="I37" s="238"/>
      <c r="J37" s="565"/>
      <c r="K37" s="274"/>
      <c r="M37" s="415"/>
      <c r="N37" s="415"/>
      <c r="O37" s="415"/>
      <c r="P37" s="417"/>
      <c r="Q37" s="781"/>
      <c r="R37" s="779"/>
      <c r="S37" s="779"/>
      <c r="T37" s="779"/>
    </row>
    <row r="38" spans="1:20" hidden="1" x14ac:dyDescent="0.35">
      <c r="A38" s="269"/>
      <c r="B38" s="221" t="str">
        <f>'Calc Sheet 23_24'!B434</f>
        <v xml:space="preserve">2.3 Three phase domestic connection in meter box, Split pre-payment meter </v>
      </c>
      <c r="C38" s="222" t="s">
        <v>340</v>
      </c>
      <c r="D38" s="201">
        <f>'Calc Sheet 23_24'!H466</f>
        <v>21730</v>
      </c>
      <c r="E38" s="521">
        <v>16375</v>
      </c>
      <c r="F38" s="606">
        <v>16040</v>
      </c>
      <c r="G38" s="379">
        <f>'Calc Sheet 23_24'!I466</f>
        <v>16250</v>
      </c>
      <c r="H38" s="228">
        <f>(G38-F38)/F38</f>
        <v>1.3092269326683292E-2</v>
      </c>
      <c r="I38" s="229">
        <f>G38*I$3</f>
        <v>2437.5</v>
      </c>
      <c r="J38" s="562">
        <f>G38+I38</f>
        <v>18687.5</v>
      </c>
      <c r="K38" s="271">
        <v>9100033030416</v>
      </c>
      <c r="M38" s="417">
        <f>J38+L38</f>
        <v>18687.5</v>
      </c>
      <c r="N38" s="417">
        <f>+$M38*(1+'Unit tariffs'!$F$2)</f>
        <v>19752.6875</v>
      </c>
      <c r="O38" s="417">
        <f>+$M38*(1+'Unit tariffs'!$F$2)</f>
        <v>19752.6875</v>
      </c>
      <c r="P38" s="417">
        <f>+$O38*(1+'Unit tariffs'!$F$2)</f>
        <v>20878.5906875</v>
      </c>
      <c r="Q38" s="781">
        <f>+$O38*(1+'Unit tariffs'!$F$2)</f>
        <v>20878.5906875</v>
      </c>
      <c r="R38" s="779" t="s">
        <v>633</v>
      </c>
      <c r="S38" s="779" t="s">
        <v>633</v>
      </c>
      <c r="T38" s="779" t="s">
        <v>633</v>
      </c>
    </row>
    <row r="39" spans="1:20" hidden="1" x14ac:dyDescent="0.35">
      <c r="A39" s="269"/>
      <c r="B39" s="239"/>
      <c r="C39" s="222"/>
      <c r="D39" s="201"/>
      <c r="E39" s="521"/>
      <c r="F39" s="610"/>
      <c r="G39" s="379"/>
      <c r="H39" s="228"/>
      <c r="I39" s="229"/>
      <c r="J39" s="562"/>
      <c r="K39" s="275"/>
      <c r="M39" s="417"/>
      <c r="N39" s="417"/>
      <c r="O39" s="417"/>
      <c r="P39" s="417">
        <f>+$O39*(1+'Unit tariffs'!$F$2)</f>
        <v>0</v>
      </c>
      <c r="Q39" s="781">
        <f>+$O39*(1+'Unit tariffs'!$F$2)</f>
        <v>0</v>
      </c>
      <c r="R39" s="779" t="s">
        <v>633</v>
      </c>
      <c r="S39" s="779" t="s">
        <v>633</v>
      </c>
      <c r="T39" s="779" t="s">
        <v>633</v>
      </c>
    </row>
    <row r="40" spans="1:20" x14ac:dyDescent="0.35">
      <c r="A40" s="269"/>
      <c r="B40" s="221" t="str">
        <f>'Calc Sheet 23_24'!B473</f>
        <v>2.4 Three phase domestic connection in meter box, Split pre-payment meter.</v>
      </c>
      <c r="C40" s="226" t="s">
        <v>341</v>
      </c>
      <c r="D40" s="201">
        <f>'Calc Sheet 23_24'!H503</f>
        <v>15130</v>
      </c>
      <c r="E40" s="521">
        <v>13720</v>
      </c>
      <c r="F40" s="606">
        <f>+'Calc Sheet 23_24'!H503</f>
        <v>15130</v>
      </c>
      <c r="G40" s="379">
        <f>'Calc Sheet 23_24'!I503</f>
        <v>8800</v>
      </c>
      <c r="H40" s="228">
        <f>(G40-F40)/F40</f>
        <v>-0.41837409120951752</v>
      </c>
      <c r="I40" s="229">
        <f>G40*I$3</f>
        <v>1320</v>
      </c>
      <c r="J40" s="562">
        <f>G40+I40</f>
        <v>10120</v>
      </c>
      <c r="K40" s="271">
        <v>9100033030416</v>
      </c>
      <c r="M40" s="417">
        <f>J40+L40</f>
        <v>10120</v>
      </c>
      <c r="N40" s="417">
        <f>+$M40*(1+'Unit tariffs'!$F$2)</f>
        <v>10696.84</v>
      </c>
      <c r="O40" s="417">
        <f>+$M40*(1+'Unit tariffs'!$F$2)</f>
        <v>10696.84</v>
      </c>
      <c r="P40" s="417">
        <f>+$O40*(1+'Unit tariffs'!$F$2)</f>
        <v>11306.559879999999</v>
      </c>
      <c r="Q40" s="781">
        <f>+$O40*(1+'Unit tariffs'!$F$2)</f>
        <v>11306.559879999999</v>
      </c>
      <c r="R40" s="779" t="s">
        <v>633</v>
      </c>
      <c r="S40" s="779" t="s">
        <v>633</v>
      </c>
      <c r="T40" s="779" t="s">
        <v>633</v>
      </c>
    </row>
    <row r="41" spans="1:20" ht="15" thickBot="1" x14ac:dyDescent="0.4">
      <c r="A41" s="293"/>
      <c r="B41" s="301"/>
      <c r="C41" s="302" t="s">
        <v>240</v>
      </c>
      <c r="D41" s="296"/>
      <c r="E41" s="527"/>
      <c r="F41" s="611"/>
      <c r="G41" s="299"/>
      <c r="H41" s="297"/>
      <c r="I41" s="298"/>
      <c r="J41" s="566"/>
      <c r="K41" s="270"/>
      <c r="M41" s="423"/>
      <c r="N41" s="423"/>
      <c r="O41" s="423"/>
      <c r="P41" s="423"/>
      <c r="Q41" s="783"/>
      <c r="R41" s="779"/>
      <c r="S41" s="779"/>
      <c r="T41" s="779"/>
    </row>
    <row r="42" spans="1:20" ht="15.5" thickTop="1" thickBot="1" x14ac:dyDescent="0.4">
      <c r="A42" s="396"/>
      <c r="B42" s="397"/>
      <c r="C42" s="398"/>
      <c r="D42" s="399"/>
      <c r="E42" s="528"/>
      <c r="F42" s="612"/>
      <c r="G42" s="400"/>
      <c r="H42" s="401"/>
      <c r="I42" s="402"/>
      <c r="J42" s="567"/>
      <c r="K42" s="270"/>
      <c r="M42" s="425"/>
      <c r="N42" s="425"/>
      <c r="O42" s="425"/>
      <c r="P42" s="425"/>
      <c r="Q42" s="784"/>
      <c r="R42" s="779"/>
      <c r="S42" s="779"/>
      <c r="T42" s="779"/>
    </row>
    <row r="43" spans="1:20" ht="15.5" x14ac:dyDescent="0.35">
      <c r="A43" s="396"/>
      <c r="B43" s="262" t="str">
        <f>+B1</f>
        <v>CENTLEC : ELECTRICITY SERVICES COSTS FOR KOPANONG MUNIC</v>
      </c>
      <c r="C43" s="263"/>
      <c r="D43" s="368" t="s">
        <v>317</v>
      </c>
      <c r="E43" s="529"/>
      <c r="F43" s="613" t="s">
        <v>74</v>
      </c>
      <c r="G43" s="370" t="s">
        <v>74</v>
      </c>
      <c r="H43" s="369" t="s">
        <v>85</v>
      </c>
      <c r="I43" s="52" t="s">
        <v>441</v>
      </c>
      <c r="J43" s="370" t="s">
        <v>138</v>
      </c>
      <c r="K43" s="371" t="s">
        <v>75</v>
      </c>
      <c r="M43" s="670" t="s">
        <v>138</v>
      </c>
      <c r="N43" s="670" t="s">
        <v>138</v>
      </c>
      <c r="O43" s="670" t="s">
        <v>138</v>
      </c>
      <c r="P43" s="670" t="s">
        <v>138</v>
      </c>
      <c r="Q43" s="785" t="s">
        <v>138</v>
      </c>
      <c r="R43" s="779"/>
      <c r="S43" s="779"/>
      <c r="T43" s="779"/>
    </row>
    <row r="44" spans="1:20" ht="15.5" x14ac:dyDescent="0.35">
      <c r="A44" s="396"/>
      <c r="B44" s="404"/>
      <c r="C44" s="304"/>
      <c r="D44" s="323" t="s">
        <v>318</v>
      </c>
      <c r="E44" s="530"/>
      <c r="F44" s="614" t="s">
        <v>318</v>
      </c>
      <c r="G44" s="308" t="s">
        <v>318</v>
      </c>
      <c r="H44" s="324" t="s">
        <v>86</v>
      </c>
      <c r="I44" s="643">
        <f>+'Unit tariffs'!F$3</f>
        <v>0.15</v>
      </c>
      <c r="J44" s="308" t="s">
        <v>139</v>
      </c>
      <c r="K44" s="325" t="s">
        <v>78</v>
      </c>
      <c r="M44" s="672" t="s">
        <v>139</v>
      </c>
      <c r="N44" s="672" t="s">
        <v>139</v>
      </c>
      <c r="O44" s="672" t="s">
        <v>139</v>
      </c>
      <c r="P44" s="672" t="s">
        <v>139</v>
      </c>
      <c r="Q44" s="786" t="s">
        <v>139</v>
      </c>
      <c r="R44" s="779"/>
      <c r="S44" s="779"/>
      <c r="T44" s="779"/>
    </row>
    <row r="45" spans="1:20" ht="15.5" x14ac:dyDescent="0.35">
      <c r="A45" s="396"/>
      <c r="B45" s="404"/>
      <c r="C45" s="226" t="s">
        <v>328</v>
      </c>
      <c r="D45" s="326" t="s">
        <v>279</v>
      </c>
      <c r="E45" s="531"/>
      <c r="F45" s="665" t="str">
        <f>'Calc Sheet 23_24'!$H$11</f>
        <v>2025/2026</v>
      </c>
      <c r="G45" s="224" t="str">
        <f>'Calc Sheet 23_24'!$I$11</f>
        <v>2026/2027</v>
      </c>
      <c r="H45" s="327" t="str">
        <f>G45</f>
        <v>2026/2027</v>
      </c>
      <c r="I45" s="52" t="str">
        <f>G45</f>
        <v>2026/2027</v>
      </c>
      <c r="J45" s="224" t="str">
        <f>I45</f>
        <v>2026/2027</v>
      </c>
      <c r="K45" s="325" t="s">
        <v>79</v>
      </c>
      <c r="M45" s="667" t="s">
        <v>451</v>
      </c>
      <c r="N45" s="667" t="s">
        <v>578</v>
      </c>
      <c r="O45" s="667" t="s">
        <v>579</v>
      </c>
      <c r="P45" s="667" t="s">
        <v>580</v>
      </c>
      <c r="Q45" s="775" t="s">
        <v>620</v>
      </c>
      <c r="R45" s="779"/>
      <c r="S45" s="779"/>
      <c r="T45" s="779"/>
    </row>
    <row r="46" spans="1:20" ht="15" thickBot="1" x14ac:dyDescent="0.4">
      <c r="A46" s="403"/>
      <c r="B46" s="405" t="str">
        <f>'Calc Sheet 23_24'!B577</f>
        <v>3. NEW SINGLE PHASE DOMESTIC CONNECTIONS: PERI-URBAN</v>
      </c>
      <c r="C46" s="295" t="s">
        <v>329</v>
      </c>
      <c r="D46" s="306" t="s">
        <v>80</v>
      </c>
      <c r="E46" s="532"/>
      <c r="F46" s="615" t="s">
        <v>80</v>
      </c>
      <c r="G46" s="381" t="s">
        <v>80</v>
      </c>
      <c r="H46" s="297"/>
      <c r="I46" s="298"/>
      <c r="J46" s="566"/>
      <c r="K46" s="311"/>
      <c r="M46" s="423"/>
      <c r="N46" s="423"/>
      <c r="O46" s="423"/>
      <c r="P46" s="423"/>
      <c r="Q46" s="783"/>
      <c r="R46" s="779"/>
      <c r="S46" s="779"/>
      <c r="T46" s="779"/>
    </row>
    <row r="47" spans="1:20" ht="15" thickTop="1" x14ac:dyDescent="0.35">
      <c r="A47" s="300"/>
      <c r="C47" s="288"/>
      <c r="D47" s="289"/>
      <c r="E47" s="525"/>
      <c r="F47" s="609"/>
      <c r="G47" s="382"/>
      <c r="H47" s="290"/>
      <c r="I47" s="291"/>
      <c r="J47" s="560"/>
      <c r="K47" s="310"/>
      <c r="M47" s="413"/>
      <c r="N47" s="413"/>
      <c r="O47" s="413"/>
      <c r="P47" s="413"/>
      <c r="Q47" s="777"/>
      <c r="R47" s="779"/>
      <c r="S47" s="779"/>
      <c r="T47" s="779"/>
    </row>
    <row r="48" spans="1:20" ht="46.25" customHeight="1" x14ac:dyDescent="0.35">
      <c r="A48" s="269"/>
      <c r="B48" s="221" t="str">
        <f>+'Calc Sheet 23_24'!B579</f>
        <v>3.1 Single phase Peri-Urban domestic connection with TOU kWh meter.  Supplied by 25kVA single phase transformer (80A) from 11kV overhead line   (where an 11kV line exists and is within the first 350m)</v>
      </c>
      <c r="C48" s="222" t="s">
        <v>241</v>
      </c>
      <c r="D48" s="557">
        <f>+'Calc Sheet 23_24'!H608</f>
        <v>35990</v>
      </c>
      <c r="E48" s="533">
        <v>15930</v>
      </c>
      <c r="F48" s="616">
        <f>+'Calc Sheet 23_24'!H608</f>
        <v>35990</v>
      </c>
      <c r="G48" s="384">
        <f>+'Calc Sheet 23_24'!I608</f>
        <v>29340</v>
      </c>
      <c r="H48" s="228">
        <f>(G48-F48)/F48</f>
        <v>-0.18477354820783551</v>
      </c>
      <c r="I48" s="229">
        <f>G48*I$3</f>
        <v>4401</v>
      </c>
      <c r="J48" s="562">
        <f>G48+I48</f>
        <v>33741</v>
      </c>
      <c r="K48" s="271">
        <v>9100033030416</v>
      </c>
      <c r="M48" s="417">
        <f>J48+L48</f>
        <v>33741</v>
      </c>
      <c r="N48" s="417">
        <f>+$M48*(1+'Unit tariffs'!$F$2)</f>
        <v>35664.237000000001</v>
      </c>
      <c r="O48" s="417">
        <f>+$M48*(1+'Unit tariffs'!$F$2)</f>
        <v>35664.237000000001</v>
      </c>
      <c r="P48" s="417">
        <f>+$O48*(1+'Unit tariffs'!$F$2)</f>
        <v>37697.098508999996</v>
      </c>
      <c r="Q48" s="781">
        <f>+$P48*(1+'Unit tariffs'!$F$2)</f>
        <v>39845.833124012992</v>
      </c>
      <c r="R48" s="779" t="s">
        <v>633</v>
      </c>
      <c r="S48" s="779" t="s">
        <v>633</v>
      </c>
      <c r="T48" s="779" t="s">
        <v>633</v>
      </c>
    </row>
    <row r="49" spans="1:20" ht="34.25" customHeight="1" x14ac:dyDescent="0.35">
      <c r="A49" s="269"/>
      <c r="B49" s="221" t="str">
        <f>+'Calc Sheet 23_24'!B613</f>
        <v>3.2 Single phase Peri-Urban domestic connection - Prepayment meter. - Supplied by 25kVA single phase Trfr (80A) from 11kV overhead line   (where an 11kV line exists and is within the first 350m)</v>
      </c>
      <c r="C49" s="222" t="s">
        <v>241</v>
      </c>
      <c r="D49" s="201">
        <f>+'Calc Sheet 23_24'!H650</f>
        <v>40460</v>
      </c>
      <c r="E49" s="521">
        <v>12240</v>
      </c>
      <c r="F49" s="606">
        <f>+'Calc Sheet 23_24'!H650</f>
        <v>40460</v>
      </c>
      <c r="G49" s="379">
        <f>+'Calc Sheet 23_24'!I650</f>
        <v>24370</v>
      </c>
      <c r="H49" s="228">
        <f>(G49-F49)/F49</f>
        <v>-0.39767671774592189</v>
      </c>
      <c r="I49" s="229">
        <f>G49*I$3</f>
        <v>3655.5</v>
      </c>
      <c r="J49" s="562">
        <f>G49+I49</f>
        <v>28025.5</v>
      </c>
      <c r="K49" s="271">
        <v>9100033030416</v>
      </c>
      <c r="M49" s="417">
        <f>J49+L49</f>
        <v>28025.5</v>
      </c>
      <c r="N49" s="417">
        <f>+$M49*(1+'Unit tariffs'!$F$2)</f>
        <v>29622.9535</v>
      </c>
      <c r="O49" s="417">
        <f>+$M49*(1+'Unit tariffs'!$F$2)</f>
        <v>29622.9535</v>
      </c>
      <c r="P49" s="417">
        <f>+$O49*(1+'Unit tariffs'!$F$2)</f>
        <v>31311.4618495</v>
      </c>
      <c r="Q49" s="781">
        <f>+$P49*(1+'Unit tariffs'!$F$2)</f>
        <v>33096.215174921497</v>
      </c>
      <c r="R49" s="779" t="s">
        <v>633</v>
      </c>
      <c r="S49" s="779" t="s">
        <v>633</v>
      </c>
      <c r="T49" s="779" t="s">
        <v>633</v>
      </c>
    </row>
    <row r="50" spans="1:20" ht="44.4" customHeight="1" x14ac:dyDescent="0.35">
      <c r="A50" s="269"/>
      <c r="B50" s="221" t="str">
        <f>+'Calc Sheet 23_24'!B657:G657</f>
        <v>3.3  Additional  Meters Peri-Urban Area:  1x 1ph  Split pre-paid meter connection- limited up to 200kVA, LV per Erf. If more than one (1) meter is reuested, a cost estimate will be done.</v>
      </c>
      <c r="C50" s="688" t="s">
        <v>241</v>
      </c>
      <c r="D50" s="201"/>
      <c r="E50" s="521"/>
      <c r="F50" s="607">
        <f>'Calc Sheet 23_24'!H679</f>
        <v>6178</v>
      </c>
      <c r="G50" s="380">
        <f>'Calc Sheet 23_24'!I679</f>
        <v>4790</v>
      </c>
      <c r="H50" s="228">
        <f>(G50-F50)/F50</f>
        <v>-0.22466817740369052</v>
      </c>
      <c r="I50" s="229">
        <f>G50*I$3</f>
        <v>718.5</v>
      </c>
      <c r="J50" s="562">
        <f>G50+I50</f>
        <v>5508.5</v>
      </c>
      <c r="K50" s="271">
        <v>9100033030417</v>
      </c>
      <c r="M50" s="417">
        <f>J50+L50</f>
        <v>5508.5</v>
      </c>
      <c r="N50" s="417">
        <f>+$M50*(1+'Unit tariffs'!$F$2)</f>
        <v>5822.4844999999996</v>
      </c>
      <c r="O50" s="417">
        <f>+$M50*(1+'Unit tariffs'!$F$2)</f>
        <v>5822.4844999999996</v>
      </c>
      <c r="P50" s="417">
        <f>+$O50*(1+'Unit tariffs'!$F$2)</f>
        <v>6154.3661164999994</v>
      </c>
      <c r="Q50" s="781">
        <f>+$P50*(1+'Unit tariffs'!$F$2)</f>
        <v>6505.1649851404991</v>
      </c>
      <c r="R50" s="793" t="s">
        <v>634</v>
      </c>
      <c r="S50" s="779" t="s">
        <v>633</v>
      </c>
      <c r="T50" s="779" t="s">
        <v>633</v>
      </c>
    </row>
    <row r="51" spans="1:20" ht="13.25" customHeight="1" x14ac:dyDescent="0.35">
      <c r="A51" s="269"/>
      <c r="B51" s="221"/>
      <c r="C51" s="688"/>
      <c r="D51" s="201"/>
      <c r="E51" s="521"/>
      <c r="F51" s="607"/>
      <c r="G51" s="380"/>
      <c r="H51" s="228"/>
      <c r="I51" s="229"/>
      <c r="J51" s="562"/>
      <c r="K51" s="271"/>
      <c r="M51" s="417"/>
      <c r="N51" s="417"/>
      <c r="O51" s="417"/>
      <c r="P51" s="417"/>
      <c r="Q51" s="781"/>
      <c r="R51" s="779"/>
      <c r="S51" s="779"/>
      <c r="T51" s="779"/>
    </row>
    <row r="52" spans="1:20" ht="18.75" customHeight="1" x14ac:dyDescent="0.35">
      <c r="A52" s="269"/>
      <c r="B52" s="227" t="str">
        <f>'Calc Sheet 23_24'!B686</f>
        <v>4. NEW THREE PHASE DOMESTIC CONNECTIONS: PERI-URBAN</v>
      </c>
      <c r="C52" s="222"/>
      <c r="D52" s="201"/>
      <c r="E52" s="520"/>
      <c r="F52" s="605"/>
      <c r="G52" s="220"/>
      <c r="H52" s="219"/>
      <c r="I52" s="216"/>
      <c r="J52" s="561"/>
      <c r="K52" s="270"/>
      <c r="M52" s="417"/>
      <c r="N52" s="417"/>
      <c r="O52" s="415"/>
      <c r="P52" s="415"/>
      <c r="Q52" s="781"/>
      <c r="R52" s="779"/>
      <c r="S52" s="779"/>
      <c r="T52" s="779"/>
    </row>
    <row r="53" spans="1:20" ht="28.5" customHeight="1" x14ac:dyDescent="0.35">
      <c r="A53" s="286"/>
      <c r="B53" s="336" t="str">
        <f>+'Calc Sheet 23_24'!B688</f>
        <v xml:space="preserve">Three phase domestic connection in meterbox, where an 11kV line exists or has to be extended up to 350m.                                           </v>
      </c>
      <c r="C53" s="226"/>
      <c r="D53" s="201"/>
      <c r="E53" s="521"/>
      <c r="F53" s="606"/>
      <c r="G53" s="379"/>
      <c r="H53" s="219"/>
      <c r="I53" s="216"/>
      <c r="J53" s="561"/>
      <c r="K53" s="270"/>
      <c r="M53" s="417"/>
      <c r="N53" s="417"/>
      <c r="O53" s="415"/>
      <c r="P53" s="415"/>
      <c r="Q53" s="781"/>
      <c r="R53" s="779" t="s">
        <v>633</v>
      </c>
      <c r="S53" s="779" t="s">
        <v>633</v>
      </c>
      <c r="T53" s="779" t="s">
        <v>633</v>
      </c>
    </row>
    <row r="54" spans="1:20" ht="13.25" customHeight="1" x14ac:dyDescent="0.35">
      <c r="A54" s="269"/>
      <c r="B54" s="221"/>
      <c r="C54" s="222"/>
      <c r="D54" s="201"/>
      <c r="E54" s="521"/>
      <c r="F54" s="606"/>
      <c r="G54" s="379"/>
      <c r="H54" s="219"/>
      <c r="I54" s="216"/>
      <c r="J54" s="561"/>
      <c r="K54" s="270"/>
      <c r="M54" s="417"/>
      <c r="N54" s="417"/>
      <c r="O54" s="415"/>
      <c r="P54" s="415"/>
      <c r="Q54" s="781"/>
      <c r="R54" s="779"/>
      <c r="S54" s="779"/>
      <c r="T54" s="779"/>
    </row>
    <row r="55" spans="1:20" ht="24.75" hidden="1" customHeight="1" x14ac:dyDescent="0.35">
      <c r="A55" s="269"/>
      <c r="B55" s="221" t="str">
        <f>+'Calc Sheet 23_24'!B691</f>
        <v xml:space="preserve">4.1 New Three phase 80A/ph 25kVA domestic connection  in meter box with Time of use (TOU) meter in Mangaung - Peri urban                                              </v>
      </c>
      <c r="C55" s="222" t="str">
        <f>+C49</f>
        <v>Peri Urban Area</v>
      </c>
      <c r="D55" s="201">
        <f>+'Calc Sheet 23_24'!H730</f>
        <v>49620</v>
      </c>
      <c r="E55" s="521">
        <v>27150</v>
      </c>
      <c r="F55" s="606">
        <v>27500</v>
      </c>
      <c r="G55" s="379">
        <f>+'Calc Sheet 23_24'!I730</f>
        <v>44270</v>
      </c>
      <c r="H55" s="228">
        <f>(G55-F55)/F55</f>
        <v>0.60981818181818181</v>
      </c>
      <c r="I55" s="229">
        <f>G55*I$3</f>
        <v>6640.5</v>
      </c>
      <c r="J55" s="562">
        <f>G55+I55</f>
        <v>50910.5</v>
      </c>
      <c r="K55" s="271">
        <v>9100033030416</v>
      </c>
      <c r="M55" s="417">
        <f>J55+L55</f>
        <v>50910.5</v>
      </c>
      <c r="N55" s="417">
        <f>+$M55*(1+'Unit tariffs'!$F$2)</f>
        <v>53812.398499999996</v>
      </c>
      <c r="O55" s="417">
        <f>+$M55*(1+'Unit tariffs'!$F$2)</f>
        <v>53812.398499999996</v>
      </c>
      <c r="P55" s="417">
        <f>+$M55*(1+'Unit tariffs'!$F$2)</f>
        <v>53812.398499999996</v>
      </c>
      <c r="Q55" s="781">
        <f>+$P55*(1+'Unit tariffs'!$F$2)</f>
        <v>56879.705214499991</v>
      </c>
      <c r="R55" s="779" t="s">
        <v>633</v>
      </c>
      <c r="S55" s="779" t="s">
        <v>633</v>
      </c>
      <c r="T55" s="779" t="s">
        <v>633</v>
      </c>
    </row>
    <row r="56" spans="1:20" hidden="1" x14ac:dyDescent="0.35">
      <c r="A56" s="269"/>
      <c r="B56" s="241"/>
      <c r="C56" s="222"/>
      <c r="D56" s="201"/>
      <c r="E56" s="521"/>
      <c r="F56" s="606"/>
      <c r="G56" s="379"/>
      <c r="H56" s="219"/>
      <c r="I56" s="216"/>
      <c r="J56" s="561"/>
      <c r="K56" s="270"/>
      <c r="M56" s="417"/>
      <c r="N56" s="417">
        <f>+$M56*(1+'Unit tariffs'!$F$2)</f>
        <v>0</v>
      </c>
      <c r="O56" s="415"/>
      <c r="P56" s="415"/>
      <c r="Q56" s="781">
        <f>+$P56*(1+'Unit tariffs'!$F$2)</f>
        <v>0</v>
      </c>
      <c r="R56" s="779" t="s">
        <v>633</v>
      </c>
      <c r="S56" s="779" t="s">
        <v>633</v>
      </c>
      <c r="T56" s="779" t="s">
        <v>633</v>
      </c>
    </row>
    <row r="57" spans="1:20" ht="39" x14ac:dyDescent="0.35">
      <c r="A57" s="269"/>
      <c r="B57" s="221" t="str">
        <f>+'Calc Sheet 23_24'!B735</f>
        <v xml:space="preserve">4.2 New Three phase 80A/ph domestic connection in meter box with Time of use (TOU) meter in Regional.                                                                                      </v>
      </c>
      <c r="C57" s="226" t="s">
        <v>243</v>
      </c>
      <c r="D57" s="556">
        <f>+'Calc Sheet 23_24'!H771</f>
        <v>37790</v>
      </c>
      <c r="E57" s="521">
        <v>26870</v>
      </c>
      <c r="F57" s="606">
        <f>+'Calc Sheet 23_24'!H771</f>
        <v>37790</v>
      </c>
      <c r="G57" s="379">
        <f>+'Calc Sheet 23_24'!I771</f>
        <v>30840</v>
      </c>
      <c r="H57" s="228">
        <f>(G57-F57)/F57</f>
        <v>-0.18391108758930935</v>
      </c>
      <c r="I57" s="229">
        <f>G57*I$3</f>
        <v>4626</v>
      </c>
      <c r="J57" s="562">
        <f>G57+I57</f>
        <v>35466</v>
      </c>
      <c r="K57" s="271">
        <v>9100033030416</v>
      </c>
      <c r="M57" s="417">
        <f>J57+L57</f>
        <v>35466</v>
      </c>
      <c r="N57" s="417">
        <f>'Summary Mangaung 2026_27'!K97</f>
        <v>0</v>
      </c>
      <c r="O57" s="417">
        <f>+$M57*(1+'Unit tariffs'!$F$2)</f>
        <v>37487.561999999998</v>
      </c>
      <c r="P57" s="417">
        <f>+$O57*(1+'Unit tariffs'!$F$2)</f>
        <v>39624.353033999992</v>
      </c>
      <c r="Q57" s="781">
        <f>+$P57*(1+'Unit tariffs'!$F$2)</f>
        <v>41882.941156937988</v>
      </c>
      <c r="R57" s="779" t="s">
        <v>633</v>
      </c>
      <c r="S57" s="779" t="s">
        <v>633</v>
      </c>
      <c r="T57" s="779" t="s">
        <v>633</v>
      </c>
    </row>
    <row r="58" spans="1:20" x14ac:dyDescent="0.35">
      <c r="A58" s="269"/>
      <c r="B58" s="241"/>
      <c r="C58" s="222"/>
      <c r="D58" s="201"/>
      <c r="E58" s="521"/>
      <c r="F58" s="606"/>
      <c r="G58" s="379"/>
      <c r="H58" s="219"/>
      <c r="I58" s="216"/>
      <c r="J58" s="561"/>
      <c r="K58" s="270"/>
      <c r="M58" s="415"/>
      <c r="N58" s="415"/>
      <c r="O58" s="415"/>
      <c r="P58" s="415"/>
      <c r="Q58" s="781"/>
      <c r="R58" s="779"/>
      <c r="S58" s="779"/>
      <c r="T58" s="779"/>
    </row>
    <row r="59" spans="1:20" ht="23.25" hidden="1" customHeight="1" x14ac:dyDescent="0.35">
      <c r="A59" s="269"/>
      <c r="B59" s="221" t="str">
        <f>'Calc Sheet 23_24'!B778</f>
        <v xml:space="preserve">4.3  New Three phase Peri-Urban domestic connection - Pre-payment meter (80A per phase)                                                    </v>
      </c>
      <c r="C59" s="222" t="str">
        <f>+C57</f>
        <v>[Regional - peri urban area]</v>
      </c>
      <c r="D59" s="201">
        <f>+'Calc Sheet 23_24'!H820</f>
        <v>38500</v>
      </c>
      <c r="E59" s="521">
        <v>27370</v>
      </c>
      <c r="F59" s="606">
        <v>27980</v>
      </c>
      <c r="G59" s="379">
        <f>+'Calc Sheet 23_24'!I820</f>
        <v>33650</v>
      </c>
      <c r="H59" s="228">
        <f>(G59-F59)/F59</f>
        <v>0.20264474624731951</v>
      </c>
      <c r="I59" s="229">
        <f>G59*I$3</f>
        <v>5047.5</v>
      </c>
      <c r="J59" s="562">
        <f>G59+I59</f>
        <v>38697.5</v>
      </c>
      <c r="K59" s="271">
        <v>9100033030416</v>
      </c>
      <c r="M59" s="417">
        <f>J59+L59</f>
        <v>38697.5</v>
      </c>
      <c r="N59" s="417">
        <f>+$M59*(1+'Unit tariffs'!$F$2)</f>
        <v>40903.2575</v>
      </c>
      <c r="O59" s="417">
        <f>+$M59*(1+'Unit tariffs'!$F$2)</f>
        <v>40903.2575</v>
      </c>
      <c r="P59" s="417">
        <f>+$M59*(1+'Unit tariffs'!$F$2)</f>
        <v>40903.2575</v>
      </c>
      <c r="Q59" s="781">
        <f>+$P59*(1+'Unit tariffs'!$F$2)</f>
        <v>43234.7431775</v>
      </c>
      <c r="R59" s="779" t="s">
        <v>633</v>
      </c>
      <c r="S59" s="779" t="s">
        <v>633</v>
      </c>
      <c r="T59" s="779" t="s">
        <v>633</v>
      </c>
    </row>
    <row r="60" spans="1:20" hidden="1" x14ac:dyDescent="0.35">
      <c r="A60" s="269"/>
      <c r="B60" s="239"/>
      <c r="C60" s="222"/>
      <c r="D60" s="201"/>
      <c r="E60" s="521"/>
      <c r="F60" s="606"/>
      <c r="G60" s="379"/>
      <c r="H60" s="228"/>
      <c r="I60" s="229"/>
      <c r="J60" s="562"/>
      <c r="K60" s="275"/>
      <c r="M60" s="417"/>
      <c r="N60" s="417"/>
      <c r="O60" s="417"/>
      <c r="P60" s="417"/>
      <c r="Q60" s="781">
        <f>+$P60*(1+'Unit tariffs'!$F$2)</f>
        <v>0</v>
      </c>
      <c r="R60" s="779" t="s">
        <v>633</v>
      </c>
      <c r="S60" s="779" t="s">
        <v>633</v>
      </c>
      <c r="T60" s="779" t="s">
        <v>633</v>
      </c>
    </row>
    <row r="61" spans="1:20" ht="38" customHeight="1" x14ac:dyDescent="0.35">
      <c r="A61" s="269"/>
      <c r="B61" s="221" t="str">
        <f>'Calc Sheet 23_24'!B825</f>
        <v xml:space="preserve">4.4 Three phase Peri-Urban domestic connection - Pre- payment meter (80A per phase)                                                    </v>
      </c>
      <c r="C61" s="226" t="str">
        <f>+'Calc Sheet 23_24'!I825</f>
        <v>[Regional - peri urban area]</v>
      </c>
      <c r="D61" s="201">
        <f>+'Calc Sheet 23_24'!H863</f>
        <v>37130</v>
      </c>
      <c r="E61" s="521">
        <v>24710</v>
      </c>
      <c r="F61" s="606">
        <f>+'Calc Sheet 23_24'!H863</f>
        <v>37130</v>
      </c>
      <c r="G61" s="379">
        <f>+'Calc Sheet 23_24'!I863</f>
        <v>32080</v>
      </c>
      <c r="H61" s="228">
        <f>(G61-F61)/F61</f>
        <v>-0.13600861836789657</v>
      </c>
      <c r="I61" s="229">
        <f>G61*I$3</f>
        <v>4812</v>
      </c>
      <c r="J61" s="562">
        <f>G61+I61</f>
        <v>36892</v>
      </c>
      <c r="K61" s="271">
        <v>9100033030416</v>
      </c>
      <c r="M61" s="417">
        <f>J61+L61</f>
        <v>36892</v>
      </c>
      <c r="N61" s="417">
        <f>+$M61*(1+'Unit tariffs'!$F$2)</f>
        <v>38994.843999999997</v>
      </c>
      <c r="O61" s="417">
        <f>+$M61*(1+'Unit tariffs'!$F$2)</f>
        <v>38994.843999999997</v>
      </c>
      <c r="P61" s="417">
        <f>+$O61*(1+'Unit tariffs'!$F$2)</f>
        <v>41217.550107999996</v>
      </c>
      <c r="Q61" s="781">
        <f>+$P61*(1+'Unit tariffs'!$F$2)</f>
        <v>43566.950464155991</v>
      </c>
      <c r="R61" s="779" t="s">
        <v>633</v>
      </c>
      <c r="S61" s="779" t="s">
        <v>633</v>
      </c>
      <c r="T61" s="779" t="s">
        <v>633</v>
      </c>
    </row>
    <row r="62" spans="1:20" x14ac:dyDescent="0.35">
      <c r="A62" s="269"/>
      <c r="B62" s="239"/>
      <c r="C62" s="222"/>
      <c r="D62" s="201"/>
      <c r="E62" s="521"/>
      <c r="F62" s="606"/>
      <c r="G62" s="379"/>
      <c r="H62" s="228"/>
      <c r="I62" s="229"/>
      <c r="J62" s="562"/>
      <c r="K62" s="271"/>
      <c r="M62" s="417"/>
      <c r="N62" s="417"/>
      <c r="O62" s="417"/>
      <c r="P62" s="417"/>
      <c r="Q62" s="781"/>
      <c r="R62" s="779"/>
      <c r="S62" s="779"/>
      <c r="T62" s="779"/>
    </row>
    <row r="63" spans="1:20" x14ac:dyDescent="0.35">
      <c r="A63" s="269"/>
      <c r="B63" s="227" t="str">
        <f>+'Calc Sheet 23_24'!B873</f>
        <v xml:space="preserve">4.5  Subdivision -  Peri-Urban area: </v>
      </c>
      <c r="C63" s="226"/>
      <c r="D63" s="201"/>
      <c r="E63" s="521"/>
      <c r="F63" s="606"/>
      <c r="G63" s="379"/>
      <c r="H63" s="228"/>
      <c r="I63" s="229"/>
      <c r="J63" s="562"/>
      <c r="K63" s="271"/>
      <c r="M63" s="417"/>
      <c r="N63" s="417"/>
      <c r="O63" s="417"/>
      <c r="P63" s="417"/>
      <c r="Q63" s="781"/>
      <c r="R63" s="779"/>
      <c r="S63" s="779"/>
      <c r="T63" s="779"/>
    </row>
    <row r="64" spans="1:20" ht="35.25" customHeight="1" x14ac:dyDescent="0.35">
      <c r="A64" s="269"/>
      <c r="B64" s="221" t="str">
        <f>+'Calc Sheet 23_24'!B875</f>
        <v xml:space="preserve">    4.5.1  Subdivision Pri Urban Area:  New Single Phase Split pre-payment meter connection in existing 11kV overhead line or  where 11kV overhead line needs to be exteded up to 350m.</v>
      </c>
      <c r="C64" s="222" t="s">
        <v>241</v>
      </c>
      <c r="D64" s="201">
        <f>+'Calc Sheet 23_24'!H904</f>
        <v>26560</v>
      </c>
      <c r="E64" s="521">
        <v>14510</v>
      </c>
      <c r="F64" s="606">
        <f>+'Calc Sheet 23_24'!H904</f>
        <v>26560</v>
      </c>
      <c r="G64" s="379">
        <f>+'Calc Sheet 23_24'!I904</f>
        <v>29670</v>
      </c>
      <c r="H64" s="228">
        <f>(G64-F64)/F64</f>
        <v>0.1170933734939759</v>
      </c>
      <c r="I64" s="229">
        <f>G64*I$3</f>
        <v>4450.5</v>
      </c>
      <c r="J64" s="562">
        <f>G64+I64</f>
        <v>34120.5</v>
      </c>
      <c r="K64" s="273">
        <v>9100033030416</v>
      </c>
      <c r="M64" s="417">
        <f>J64+L64</f>
        <v>34120.5</v>
      </c>
      <c r="N64" s="417">
        <f>+$M64*(1+'Unit tariffs'!$F$2)</f>
        <v>36065.368499999997</v>
      </c>
      <c r="O64" s="417">
        <f>+$M64*(1+'Unit tariffs'!$F$2)</f>
        <v>36065.368499999997</v>
      </c>
      <c r="P64" s="417">
        <f>+$O64*(1+'Unit tariffs'!$F$2)</f>
        <v>38121.094504499997</v>
      </c>
      <c r="Q64" s="781">
        <f>+$P64*(1+'Unit tariffs'!$F$2)</f>
        <v>40293.996891256495</v>
      </c>
      <c r="R64" s="779" t="s">
        <v>633</v>
      </c>
      <c r="S64" s="779" t="s">
        <v>633</v>
      </c>
      <c r="T64" s="779" t="s">
        <v>633</v>
      </c>
    </row>
    <row r="65" spans="1:20" x14ac:dyDescent="0.35">
      <c r="A65" s="269"/>
      <c r="B65" s="221"/>
      <c r="C65" s="222"/>
      <c r="D65" s="235"/>
      <c r="E65" s="523"/>
      <c r="F65" s="607"/>
      <c r="G65" s="380"/>
      <c r="H65" s="228"/>
      <c r="I65" s="229"/>
      <c r="J65" s="562"/>
      <c r="K65" s="271"/>
      <c r="M65" s="417"/>
      <c r="N65" s="417"/>
      <c r="O65" s="417"/>
      <c r="P65" s="417"/>
      <c r="Q65" s="781"/>
      <c r="R65" s="779"/>
      <c r="S65" s="779"/>
      <c r="T65" s="779"/>
    </row>
    <row r="66" spans="1:20" ht="38.5" x14ac:dyDescent="0.35">
      <c r="A66" s="269"/>
      <c r="B66" s="221" t="str">
        <f>+'Calc Sheet 23_24'!B909</f>
        <v xml:space="preserve">    4.5.2 Subdivision Peri Urban Area:  New Three Split pre-payment meter connection on the stand boundary, where 11kV overhead line needs to be exteded up to 350m at ADMD = 7,5KVA</v>
      </c>
      <c r="C66" s="222" t="s">
        <v>241</v>
      </c>
      <c r="D66" s="235" t="str">
        <f>+'Calc Sheet 23_24'!H912</f>
        <v>Actual estimated cost plus network contribution for 7.5kVA</v>
      </c>
      <c r="E66" s="523"/>
      <c r="F66" s="607" t="s">
        <v>261</v>
      </c>
      <c r="G66" s="380" t="str">
        <f>+'Calc Sheet 23_24'!I912</f>
        <v>Actual estimated cost plus network contribution for 7.5kVA</v>
      </c>
      <c r="H66" s="228"/>
      <c r="I66" s="229"/>
      <c r="J66" s="562"/>
      <c r="K66" s="271"/>
      <c r="M66" s="417"/>
      <c r="N66" s="417"/>
      <c r="O66" s="417"/>
      <c r="P66" s="417"/>
      <c r="Q66" s="781"/>
      <c r="R66" s="779"/>
      <c r="S66" s="779"/>
      <c r="T66" s="779"/>
    </row>
    <row r="67" spans="1:20" ht="15" thickBot="1" x14ac:dyDescent="0.4">
      <c r="A67" s="364"/>
      <c r="B67" s="278"/>
      <c r="C67" s="279"/>
      <c r="D67" s="281"/>
      <c r="E67" s="524"/>
      <c r="F67" s="608"/>
      <c r="G67" s="284"/>
      <c r="H67" s="282"/>
      <c r="I67" s="283"/>
      <c r="J67" s="564"/>
      <c r="K67" s="372"/>
      <c r="M67" s="421"/>
      <c r="N67" s="421"/>
      <c r="O67" s="421"/>
      <c r="P67" s="421"/>
      <c r="Q67" s="787"/>
      <c r="R67" s="779"/>
      <c r="S67" s="779"/>
      <c r="T67" s="779"/>
    </row>
    <row r="68" spans="1:20" ht="15.5" x14ac:dyDescent="0.35">
      <c r="A68" s="261"/>
      <c r="B68" s="262" t="str">
        <f>B1</f>
        <v>CENTLEC : ELECTRICITY SERVICES COSTS FOR KOPANONG MUNIC</v>
      </c>
      <c r="C68" s="263"/>
      <c r="D68" s="264"/>
      <c r="E68" s="534"/>
      <c r="F68" s="601"/>
      <c r="G68" s="267"/>
      <c r="H68" s="265"/>
      <c r="I68" s="266"/>
      <c r="J68" s="559"/>
      <c r="K68" s="268"/>
      <c r="M68" s="407"/>
      <c r="N68" s="407"/>
      <c r="O68" s="407"/>
      <c r="P68" s="407"/>
      <c r="Q68" s="788"/>
      <c r="R68" s="779"/>
      <c r="S68" s="779"/>
      <c r="T68" s="779"/>
    </row>
    <row r="69" spans="1:20" x14ac:dyDescent="0.35">
      <c r="A69" s="286"/>
      <c r="B69" s="287" t="s">
        <v>1</v>
      </c>
      <c r="C69" s="288"/>
      <c r="D69" s="323" t="s">
        <v>74</v>
      </c>
      <c r="E69" s="530"/>
      <c r="F69" s="614" t="s">
        <v>74</v>
      </c>
      <c r="G69" s="308" t="s">
        <v>74</v>
      </c>
      <c r="H69" s="324" t="s">
        <v>85</v>
      </c>
      <c r="I69" s="52" t="s">
        <v>441</v>
      </c>
      <c r="J69" s="308" t="s">
        <v>138</v>
      </c>
      <c r="K69" s="325" t="s">
        <v>75</v>
      </c>
      <c r="M69" s="672" t="s">
        <v>138</v>
      </c>
      <c r="N69" s="672" t="s">
        <v>138</v>
      </c>
      <c r="O69" s="672" t="s">
        <v>138</v>
      </c>
      <c r="P69" s="672" t="s">
        <v>138</v>
      </c>
      <c r="Q69" s="786" t="s">
        <v>138</v>
      </c>
      <c r="R69" s="779"/>
      <c r="S69" s="779"/>
      <c r="T69" s="779"/>
    </row>
    <row r="70" spans="1:20" x14ac:dyDescent="0.35">
      <c r="A70" s="269"/>
      <c r="B70" s="307" t="s">
        <v>331</v>
      </c>
      <c r="C70" s="226"/>
      <c r="D70" s="328" t="s">
        <v>77</v>
      </c>
      <c r="E70" s="516"/>
      <c r="F70" s="602" t="s">
        <v>77</v>
      </c>
      <c r="G70" s="224" t="s">
        <v>77</v>
      </c>
      <c r="H70" s="327" t="s">
        <v>86</v>
      </c>
      <c r="I70" s="643">
        <f>+'Unit tariffs'!F$3</f>
        <v>0.15</v>
      </c>
      <c r="J70" s="224" t="s">
        <v>139</v>
      </c>
      <c r="K70" s="325" t="s">
        <v>78</v>
      </c>
      <c r="M70" s="667" t="s">
        <v>139</v>
      </c>
      <c r="N70" s="667" t="s">
        <v>139</v>
      </c>
      <c r="O70" s="667" t="s">
        <v>139</v>
      </c>
      <c r="P70" s="667" t="s">
        <v>139</v>
      </c>
      <c r="Q70" s="775" t="s">
        <v>139</v>
      </c>
      <c r="R70" s="779"/>
      <c r="S70" s="779"/>
      <c r="T70" s="779"/>
    </row>
    <row r="71" spans="1:20" x14ac:dyDescent="0.35">
      <c r="A71" s="269"/>
      <c r="B71" s="227" t="s">
        <v>1</v>
      </c>
      <c r="C71" s="226"/>
      <c r="D71" s="328" t="str">
        <f>D$4</f>
        <v>2016/2017</v>
      </c>
      <c r="E71" s="516"/>
      <c r="F71" s="665" t="str">
        <f>'Calc Sheet 23_24'!$H$11</f>
        <v>2025/2026</v>
      </c>
      <c r="G71" s="224" t="str">
        <f>'Calc Sheet 23_24'!$I$11</f>
        <v>2026/2027</v>
      </c>
      <c r="H71" s="327" t="str">
        <f>G71</f>
        <v>2026/2027</v>
      </c>
      <c r="I71" s="52" t="str">
        <f>G71</f>
        <v>2026/2027</v>
      </c>
      <c r="J71" s="224" t="str">
        <f>I71</f>
        <v>2026/2027</v>
      </c>
      <c r="K71" s="325" t="s">
        <v>79</v>
      </c>
      <c r="M71" s="667" t="s">
        <v>451</v>
      </c>
      <c r="N71" s="667" t="s">
        <v>578</v>
      </c>
      <c r="O71" s="667" t="s">
        <v>579</v>
      </c>
      <c r="P71" s="667" t="s">
        <v>580</v>
      </c>
      <c r="Q71" s="775" t="s">
        <v>620</v>
      </c>
      <c r="R71" s="779"/>
      <c r="S71" s="779"/>
      <c r="T71" s="779"/>
    </row>
    <row r="72" spans="1:20" x14ac:dyDescent="0.35">
      <c r="A72" s="269"/>
      <c r="B72" s="227" t="s">
        <v>1</v>
      </c>
      <c r="C72" s="226"/>
      <c r="D72" s="328" t="s">
        <v>80</v>
      </c>
      <c r="E72" s="516"/>
      <c r="F72" s="602" t="s">
        <v>80</v>
      </c>
      <c r="G72" s="224" t="s">
        <v>80</v>
      </c>
      <c r="H72" s="327"/>
      <c r="I72" s="52"/>
      <c r="J72" s="224"/>
      <c r="K72" s="325"/>
      <c r="M72" s="409"/>
      <c r="N72" s="409"/>
      <c r="O72" s="409"/>
      <c r="P72" s="409"/>
      <c r="Q72" s="789"/>
      <c r="R72" s="779"/>
      <c r="S72" s="779"/>
      <c r="T72" s="779"/>
    </row>
    <row r="73" spans="1:20" ht="19.5" hidden="1" customHeight="1" x14ac:dyDescent="0.35">
      <c r="A73" s="269"/>
      <c r="B73" s="227" t="str">
        <f>'Calc Sheet 23_24'!B915</f>
        <v>5.  ILLUMINATING SIGNS</v>
      </c>
      <c r="C73" s="226"/>
      <c r="D73" s="218"/>
      <c r="E73" s="520"/>
      <c r="F73" s="605"/>
      <c r="G73" s="220"/>
      <c r="H73" s="219"/>
      <c r="I73" s="216"/>
      <c r="J73" s="561"/>
      <c r="K73" s="270"/>
      <c r="M73" s="415"/>
      <c r="N73" s="415"/>
      <c r="O73" s="415"/>
      <c r="P73" s="415"/>
      <c r="Q73" s="780"/>
      <c r="R73" s="779"/>
      <c r="S73" s="779"/>
      <c r="T73" s="779"/>
    </row>
    <row r="74" spans="1:20" hidden="1" x14ac:dyDescent="0.35">
      <c r="A74" s="269"/>
      <c r="B74" s="221" t="s">
        <v>1</v>
      </c>
      <c r="C74" s="222"/>
      <c r="D74" s="218"/>
      <c r="E74" s="520"/>
      <c r="F74" s="605"/>
      <c r="G74" s="220"/>
      <c r="H74" s="219"/>
      <c r="I74" s="216"/>
      <c r="J74" s="561"/>
      <c r="K74" s="270" t="s">
        <v>1</v>
      </c>
      <c r="M74" s="415"/>
      <c r="N74" s="415"/>
      <c r="O74" s="415"/>
      <c r="P74" s="415"/>
      <c r="Q74" s="780"/>
      <c r="R74" s="779"/>
      <c r="S74" s="779"/>
      <c r="T74" s="779"/>
    </row>
    <row r="75" spans="1:20" hidden="1" x14ac:dyDescent="0.35">
      <c r="A75" s="269"/>
      <c r="B75" s="221" t="s">
        <v>100</v>
      </c>
      <c r="C75" s="222"/>
      <c r="D75" s="218" t="s">
        <v>205</v>
      </c>
      <c r="E75" s="520"/>
      <c r="F75" s="605" t="s">
        <v>205</v>
      </c>
      <c r="G75" s="220" t="s">
        <v>205</v>
      </c>
      <c r="H75" s="219"/>
      <c r="I75" s="216"/>
      <c r="J75" s="561"/>
      <c r="K75" s="271">
        <v>9100033030416</v>
      </c>
      <c r="M75" s="415"/>
      <c r="N75" s="415"/>
      <c r="O75" s="415"/>
      <c r="P75" s="415"/>
      <c r="Q75" s="780"/>
      <c r="R75" s="779"/>
      <c r="S75" s="779"/>
      <c r="T75" s="779"/>
    </row>
    <row r="76" spans="1:20" hidden="1" x14ac:dyDescent="0.35">
      <c r="A76" s="269"/>
      <c r="B76" s="221" t="s">
        <v>1</v>
      </c>
      <c r="C76" s="222"/>
      <c r="D76" s="218"/>
      <c r="E76" s="520"/>
      <c r="F76" s="605"/>
      <c r="G76" s="220"/>
      <c r="H76" s="219"/>
      <c r="I76" s="216"/>
      <c r="J76" s="561"/>
      <c r="K76" s="275"/>
      <c r="M76" s="415"/>
      <c r="N76" s="415"/>
      <c r="O76" s="415"/>
      <c r="P76" s="415"/>
      <c r="Q76" s="780"/>
      <c r="R76" s="779"/>
      <c r="S76" s="779"/>
      <c r="T76" s="779"/>
    </row>
    <row r="77" spans="1:20" hidden="1" x14ac:dyDescent="0.35">
      <c r="A77" s="269"/>
      <c r="B77" s="221" t="str">
        <f>'Calc Sheet 23_24'!B919</f>
        <v>Levy for electricity consumed</v>
      </c>
      <c r="C77" s="222"/>
      <c r="D77" s="201">
        <f>'Calc Sheet 23_24'!H926</f>
        <v>111</v>
      </c>
      <c r="E77" s="521"/>
      <c r="F77" s="606">
        <f>+'Calc Sheet 23_24'!H926</f>
        <v>111</v>
      </c>
      <c r="G77" s="379">
        <f>'Calc Sheet 23_24'!I926</f>
        <v>111</v>
      </c>
      <c r="H77" s="228">
        <f>(G77-F77)/F77</f>
        <v>0</v>
      </c>
      <c r="I77" s="229">
        <f>G77*I$3</f>
        <v>16.649999999999999</v>
      </c>
      <c r="J77" s="562">
        <f>G77+I77</f>
        <v>127.65</v>
      </c>
      <c r="K77" s="271">
        <v>9100033030416</v>
      </c>
      <c r="M77" s="417">
        <f>J77+L77</f>
        <v>127.65</v>
      </c>
      <c r="N77" s="417">
        <f>+$M77*(1+'Unit tariffs'!$F$2)</f>
        <v>134.92605</v>
      </c>
      <c r="O77" s="417">
        <f>+$M77*(1+'Unit tariffs'!$F$2)</f>
        <v>134.92605</v>
      </c>
      <c r="P77" s="417">
        <f>+$O77*(1+'Unit tariffs'!$F$2)</f>
        <v>142.61683485</v>
      </c>
      <c r="Q77" s="781">
        <f>+$P77*(1+'Unit tariffs'!$F$2)</f>
        <v>150.74599443644999</v>
      </c>
      <c r="R77" s="779"/>
      <c r="S77" s="779"/>
      <c r="T77" s="779"/>
    </row>
    <row r="78" spans="1:20" x14ac:dyDescent="0.35">
      <c r="A78" s="269"/>
      <c r="B78" s="221" t="s">
        <v>1</v>
      </c>
      <c r="C78" s="222"/>
      <c r="D78" s="201"/>
      <c r="E78" s="521"/>
      <c r="F78" s="606"/>
      <c r="G78" s="379"/>
      <c r="H78" s="242"/>
      <c r="I78" s="230"/>
      <c r="J78" s="224"/>
      <c r="K78" s="275"/>
      <c r="M78" s="409"/>
      <c r="N78" s="409"/>
      <c r="O78" s="409"/>
      <c r="P78" s="409"/>
      <c r="Q78" s="789"/>
      <c r="R78" s="779"/>
      <c r="S78" s="779"/>
      <c r="T78" s="779"/>
    </row>
    <row r="79" spans="1:20" ht="16.5" customHeight="1" x14ac:dyDescent="0.35">
      <c r="A79" s="286"/>
      <c r="B79" s="287" t="str">
        <f>'Calc Sheet 23_24'!B934</f>
        <v xml:space="preserve">6. TEMPORARY CONNECTIONS - MAXIMUM PERIOD OF 12 MONTHS </v>
      </c>
      <c r="C79" s="288"/>
      <c r="D79" s="289" t="s">
        <v>1</v>
      </c>
      <c r="E79" s="525"/>
      <c r="F79" s="609" t="s">
        <v>1</v>
      </c>
      <c r="G79" s="382" t="s">
        <v>1</v>
      </c>
      <c r="H79" s="290"/>
      <c r="I79" s="291"/>
      <c r="J79" s="560"/>
      <c r="K79" s="310" t="s">
        <v>1</v>
      </c>
      <c r="M79" s="413"/>
      <c r="N79" s="413"/>
      <c r="O79" s="413"/>
      <c r="P79" s="413"/>
      <c r="Q79" s="777"/>
      <c r="R79" s="779"/>
      <c r="S79" s="779"/>
      <c r="T79" s="779"/>
    </row>
    <row r="80" spans="1:20" x14ac:dyDescent="0.35">
      <c r="A80" s="269"/>
      <c r="B80" s="221"/>
      <c r="C80" s="222"/>
      <c r="D80" s="201" t="s">
        <v>81</v>
      </c>
      <c r="E80" s="521"/>
      <c r="F80" s="606" t="s">
        <v>81</v>
      </c>
      <c r="G80" s="379" t="s">
        <v>81</v>
      </c>
      <c r="H80" s="219"/>
      <c r="I80" s="216"/>
      <c r="J80" s="561"/>
      <c r="K80" s="270"/>
      <c r="M80" s="415"/>
      <c r="N80" s="415"/>
      <c r="O80" s="415"/>
      <c r="P80" s="415"/>
      <c r="Q80" s="780"/>
      <c r="R80" s="779"/>
      <c r="S80" s="779"/>
      <c r="T80" s="779"/>
    </row>
    <row r="81" spans="1:20" ht="26.5" x14ac:dyDescent="0.35">
      <c r="A81" s="269"/>
      <c r="B81" s="772" t="s">
        <v>623</v>
      </c>
      <c r="C81" s="222"/>
      <c r="D81" s="201"/>
      <c r="E81" s="521"/>
      <c r="F81" s="606"/>
      <c r="G81" s="379"/>
      <c r="H81" s="219"/>
      <c r="I81" s="216"/>
      <c r="J81" s="561"/>
      <c r="K81" s="270"/>
      <c r="M81" s="415"/>
      <c r="N81" s="415"/>
      <c r="O81" s="415"/>
      <c r="P81" s="415"/>
      <c r="Q81" s="780"/>
      <c r="R81" s="779"/>
      <c r="S81" s="779"/>
      <c r="T81" s="779"/>
    </row>
    <row r="82" spans="1:20" x14ac:dyDescent="0.35">
      <c r="A82" s="269"/>
      <c r="B82" s="221"/>
      <c r="C82" s="222"/>
      <c r="D82" s="201"/>
      <c r="E82" s="521"/>
      <c r="F82" s="606"/>
      <c r="G82" s="379"/>
      <c r="H82" s="219"/>
      <c r="I82" s="216"/>
      <c r="J82" s="561"/>
      <c r="K82" s="270"/>
      <c r="M82" s="415"/>
      <c r="N82" s="415"/>
      <c r="O82" s="415"/>
      <c r="P82" s="415"/>
      <c r="Q82" s="780"/>
      <c r="R82" s="779"/>
      <c r="S82" s="779"/>
      <c r="T82" s="779"/>
    </row>
    <row r="83" spans="1:20" x14ac:dyDescent="0.35">
      <c r="A83" s="269"/>
      <c r="B83" s="221"/>
      <c r="C83" s="222"/>
      <c r="D83" s="201"/>
      <c r="E83" s="521"/>
      <c r="F83" s="606"/>
      <c r="G83" s="379"/>
      <c r="H83" s="219"/>
      <c r="I83" s="216"/>
      <c r="J83" s="561"/>
      <c r="K83" s="270"/>
      <c r="M83" s="415"/>
      <c r="N83" s="415"/>
      <c r="O83" s="415"/>
      <c r="P83" s="415"/>
      <c r="Q83" s="780"/>
      <c r="R83" s="779"/>
      <c r="S83" s="779"/>
      <c r="T83" s="779"/>
    </row>
    <row r="84" spans="1:20" ht="38.5" x14ac:dyDescent="0.35">
      <c r="A84" s="269"/>
      <c r="B84" s="221" t="str">
        <f>'Calc Sheet 23_24'!B936</f>
        <v>6.1 Temporary builders underground connection - Three phase 80 Ampère Prepaid meter only.  Please note: These connections would only be permitted  for a maximum period of 12 months after which it will be removed by CENTLEC. (Where a trench is not longer than 12m)</v>
      </c>
      <c r="C84" s="222"/>
      <c r="D84" s="201">
        <f>'Calc Sheet 23_24'!H972</f>
        <v>27870</v>
      </c>
      <c r="E84" s="521">
        <v>25880</v>
      </c>
      <c r="F84" s="606">
        <f>+'Calc Sheet 23_24'!H972</f>
        <v>27870</v>
      </c>
      <c r="G84" s="379">
        <f>'Calc Sheet 23_24'!I972</f>
        <v>30220</v>
      </c>
      <c r="H84" s="228">
        <f>(G84-F84)/F84</f>
        <v>8.4320057409400795E-2</v>
      </c>
      <c r="I84" s="229">
        <f>G84*I$3</f>
        <v>4533</v>
      </c>
      <c r="J84" s="562">
        <f>G84+I84</f>
        <v>34753</v>
      </c>
      <c r="K84" s="271">
        <v>9100033030416</v>
      </c>
      <c r="M84" s="417">
        <f>J84+L84</f>
        <v>34753</v>
      </c>
      <c r="N84" s="417">
        <f>+$M84*(1+'Unit tariffs'!$F$2)</f>
        <v>36733.920999999995</v>
      </c>
      <c r="O84" s="417">
        <f>+$M84*(1+'Unit tariffs'!$F$2)</f>
        <v>36733.920999999995</v>
      </c>
      <c r="P84" s="417">
        <f>+$O84*(1+'Unit tariffs'!$F$2)</f>
        <v>38827.754496999994</v>
      </c>
      <c r="Q84" s="781">
        <f>+$P84*(1+'Unit tariffs'!$F$2)</f>
        <v>41040.936503328994</v>
      </c>
      <c r="R84" s="779" t="s">
        <v>633</v>
      </c>
      <c r="S84" s="779" t="s">
        <v>633</v>
      </c>
      <c r="T84" s="779" t="s">
        <v>633</v>
      </c>
    </row>
    <row r="85" spans="1:20" ht="12.75" customHeight="1" x14ac:dyDescent="0.35">
      <c r="A85" s="269"/>
      <c r="B85" s="221"/>
      <c r="C85" s="222"/>
      <c r="D85" s="201"/>
      <c r="E85" s="521"/>
      <c r="F85" s="606"/>
      <c r="G85" s="379"/>
      <c r="H85" s="228"/>
      <c r="I85" s="229"/>
      <c r="J85" s="562"/>
      <c r="K85" s="271"/>
      <c r="M85" s="417"/>
      <c r="N85" s="417"/>
      <c r="O85" s="417"/>
      <c r="P85" s="417"/>
      <c r="Q85" s="781"/>
      <c r="R85" s="779"/>
      <c r="S85" s="779"/>
      <c r="T85" s="779"/>
    </row>
    <row r="86" spans="1:20" ht="44.4" customHeight="1" x14ac:dyDescent="0.35">
      <c r="A86" s="269"/>
      <c r="B86" s="772" t="s">
        <v>625</v>
      </c>
      <c r="C86" s="222"/>
      <c r="D86" s="243"/>
      <c r="E86" s="522"/>
      <c r="F86" s="617"/>
      <c r="G86" s="385"/>
      <c r="H86" s="228"/>
      <c r="I86" s="229"/>
      <c r="J86" s="562"/>
      <c r="K86" s="271"/>
      <c r="M86" s="417"/>
      <c r="N86" s="417"/>
      <c r="O86" s="417"/>
      <c r="P86" s="417"/>
      <c r="Q86" s="781"/>
      <c r="R86" s="779"/>
      <c r="S86" s="779"/>
      <c r="T86" s="779"/>
    </row>
    <row r="87" spans="1:20" x14ac:dyDescent="0.35">
      <c r="A87" s="269"/>
      <c r="B87" s="221"/>
      <c r="C87" s="222"/>
      <c r="D87" s="243"/>
      <c r="E87" s="522"/>
      <c r="F87" s="617"/>
      <c r="G87" s="385"/>
      <c r="H87" s="228"/>
      <c r="I87" s="229"/>
      <c r="J87" s="562"/>
      <c r="K87" s="271"/>
      <c r="M87" s="417"/>
      <c r="N87" s="417"/>
      <c r="O87" s="417"/>
      <c r="P87" s="417"/>
      <c r="Q87" s="781"/>
      <c r="R87" s="779"/>
      <c r="S87" s="779"/>
      <c r="T87" s="779"/>
    </row>
    <row r="88" spans="1:20" ht="38.5" x14ac:dyDescent="0.35">
      <c r="A88" s="269"/>
      <c r="B88" s="221" t="str">
        <f>+'Calc Sheet 23_24'!B977:G977</f>
        <v>6.2.1 Temporary connection for a special event - Single phase 80Ampère P/P with over head Airdac - Church Crusades, Social, Cultural and community events, temporary creches, police stations, etc.</v>
      </c>
      <c r="C88" s="222"/>
      <c r="D88" s="240">
        <f>+'Calc Sheet 23_24'!H1008</f>
        <v>12100</v>
      </c>
      <c r="E88" s="533">
        <v>8260</v>
      </c>
      <c r="F88" s="616">
        <f>+'Calc Sheet 23_24'!H1008</f>
        <v>12100</v>
      </c>
      <c r="G88" s="384">
        <f>+'Calc Sheet 23_24'!I1008</f>
        <v>8150</v>
      </c>
      <c r="H88" s="228">
        <f>(G88-F88)/F88</f>
        <v>-0.32644628099173556</v>
      </c>
      <c r="I88" s="229">
        <f>G88*I$3</f>
        <v>1222.5</v>
      </c>
      <c r="J88" s="562">
        <f>G88+I88</f>
        <v>9372.5</v>
      </c>
      <c r="K88" s="271">
        <v>9100033030416</v>
      </c>
      <c r="M88" s="417">
        <f>J88+L88</f>
        <v>9372.5</v>
      </c>
      <c r="N88" s="417">
        <f>+$M88*(1+'Unit tariffs'!$F$2)</f>
        <v>9906.7325000000001</v>
      </c>
      <c r="O88" s="417">
        <f>+$M88*(1+'Unit tariffs'!$F$2)</f>
        <v>9906.7325000000001</v>
      </c>
      <c r="P88" s="417">
        <f>+$O88*(1+'Unit tariffs'!$F$2)</f>
        <v>10471.416252499999</v>
      </c>
      <c r="Q88" s="781">
        <f>+$P88*(1+'Unit tariffs'!$F$2)</f>
        <v>11068.286978892498</v>
      </c>
      <c r="R88" s="779" t="s">
        <v>633</v>
      </c>
      <c r="S88" s="779" t="s">
        <v>633</v>
      </c>
      <c r="T88" s="779" t="s">
        <v>633</v>
      </c>
    </row>
    <row r="89" spans="1:20" ht="38.5" x14ac:dyDescent="0.35">
      <c r="A89" s="269"/>
      <c r="B89" s="221" t="str">
        <f>+'Calc Sheet 23_24'!B1011:G1011</f>
        <v>6.2.2 Temporary connection for a special event - Three phase 80Ampère P/P- Church Crusades, Social, Cultural and community events, temporary creches, police stations, Car wash ect (where a trench is not longer than 12m)</v>
      </c>
      <c r="C89" s="222"/>
      <c r="D89" s="240">
        <f>+'Calc Sheet 23_24'!H1009</f>
        <v>1.6556291390728477E-3</v>
      </c>
      <c r="E89" s="533">
        <v>25880</v>
      </c>
      <c r="F89" s="616">
        <f>+'Calc Sheet 23_24'!H1046</f>
        <v>38910</v>
      </c>
      <c r="G89" s="384">
        <f>+'Calc Sheet 23_24'!I1046</f>
        <v>44570</v>
      </c>
      <c r="H89" s="228">
        <f>(G89-F89)/F89</f>
        <v>0.14546389103058341</v>
      </c>
      <c r="I89" s="229">
        <f>G89*I$3</f>
        <v>6685.5</v>
      </c>
      <c r="J89" s="562">
        <f>G89+I89</f>
        <v>51255.5</v>
      </c>
      <c r="K89" s="271">
        <v>9100033030416</v>
      </c>
      <c r="M89" s="417">
        <f>J89+L89</f>
        <v>51255.5</v>
      </c>
      <c r="N89" s="417">
        <f>+$M89*(1+'Unit tariffs'!$F$2)</f>
        <v>54177.063499999997</v>
      </c>
      <c r="O89" s="417">
        <f>+$M89*(1+'Unit tariffs'!$F$2)</f>
        <v>54177.063499999997</v>
      </c>
      <c r="P89" s="417">
        <f>+$O89*(1+'Unit tariffs'!$F$2)</f>
        <v>57265.156119499996</v>
      </c>
      <c r="Q89" s="781">
        <f>+$P89*(1+'Unit tariffs'!$F$2)</f>
        <v>60529.270018311494</v>
      </c>
      <c r="R89" s="779" t="s">
        <v>633</v>
      </c>
      <c r="S89" s="779" t="s">
        <v>633</v>
      </c>
      <c r="T89" s="779" t="s">
        <v>633</v>
      </c>
    </row>
    <row r="90" spans="1:20" ht="44" customHeight="1" x14ac:dyDescent="0.35">
      <c r="A90" s="338"/>
      <c r="B90" s="339" t="str">
        <f>+'Calc Sheet 23_24'!B1049:G1049</f>
        <v>6.2.3 Temporary connection for a special event - Three phase 80Ampère P/P- Car wash etc (Subsidised sites)</v>
      </c>
      <c r="C90" s="340"/>
      <c r="D90" s="240">
        <f>+'Calc Sheet 23_24'!H1010</f>
        <v>0</v>
      </c>
      <c r="E90" s="535">
        <v>20525</v>
      </c>
      <c r="F90" s="618">
        <f>+'Calc Sheet 23_24'!H1084</f>
        <v>38200</v>
      </c>
      <c r="G90" s="513">
        <f>+'Calc Sheet 23_24'!I1084</f>
        <v>41250</v>
      </c>
      <c r="H90" s="228">
        <f>(G90-F90)/F90</f>
        <v>7.9842931937172776E-2</v>
      </c>
      <c r="I90" s="229">
        <f>G90*I$3</f>
        <v>6187.5</v>
      </c>
      <c r="J90" s="562">
        <f>G90+I90</f>
        <v>47437.5</v>
      </c>
      <c r="K90" s="341">
        <v>9100033030416</v>
      </c>
      <c r="M90" s="417">
        <f>J90+L90</f>
        <v>47437.5</v>
      </c>
      <c r="N90" s="417">
        <f>+$M90*(1+'Unit tariffs'!$F$2)</f>
        <v>50141.4375</v>
      </c>
      <c r="O90" s="417">
        <f>+$M90*(1+'Unit tariffs'!$F$2)</f>
        <v>50141.4375</v>
      </c>
      <c r="P90" s="417">
        <f>+$O90*(1+'Unit tariffs'!$F$2)</f>
        <v>52999.499437499995</v>
      </c>
      <c r="Q90" s="781">
        <f>+$P90*(1+'Unit tariffs'!$F$2)</f>
        <v>56020.470905437491</v>
      </c>
      <c r="R90" s="779" t="s">
        <v>633</v>
      </c>
      <c r="S90" s="779" t="s">
        <v>633</v>
      </c>
      <c r="T90" s="779" t="s">
        <v>633</v>
      </c>
    </row>
    <row r="91" spans="1:20" ht="15" thickBot="1" x14ac:dyDescent="0.4">
      <c r="A91" s="364"/>
      <c r="B91" s="373"/>
      <c r="C91" s="279"/>
      <c r="D91" s="281"/>
      <c r="E91" s="524"/>
      <c r="F91" s="608"/>
      <c r="G91" s="284"/>
      <c r="H91" s="282"/>
      <c r="I91" s="283"/>
      <c r="J91" s="564"/>
      <c r="K91" s="285"/>
      <c r="M91" s="421"/>
      <c r="N91" s="421"/>
      <c r="O91" s="421"/>
      <c r="P91" s="421"/>
      <c r="Q91" s="787"/>
      <c r="R91" s="779"/>
      <c r="S91" s="779"/>
      <c r="T91" s="779"/>
    </row>
    <row r="92" spans="1:20" ht="16.5" customHeight="1" x14ac:dyDescent="0.35">
      <c r="A92" s="261"/>
      <c r="B92" s="262" t="str">
        <f>$B1</f>
        <v>CENTLEC : ELECTRICITY SERVICES COSTS FOR KOPANONG MUNIC</v>
      </c>
      <c r="C92" s="263"/>
      <c r="D92" s="264"/>
      <c r="E92" s="534"/>
      <c r="F92" s="601"/>
      <c r="G92" s="267"/>
      <c r="H92" s="265"/>
      <c r="I92" s="266"/>
      <c r="J92" s="559"/>
      <c r="K92" s="268"/>
      <c r="M92" s="407"/>
      <c r="N92" s="407"/>
      <c r="O92" s="407"/>
      <c r="P92" s="407"/>
      <c r="Q92" s="788"/>
      <c r="R92" s="779"/>
      <c r="S92" s="779"/>
      <c r="T92" s="779"/>
    </row>
    <row r="93" spans="1:20" x14ac:dyDescent="0.35">
      <c r="A93" s="269"/>
      <c r="B93" s="227" t="s">
        <v>1</v>
      </c>
      <c r="C93" s="226"/>
      <c r="D93" s="328" t="s">
        <v>74</v>
      </c>
      <c r="E93" s="516"/>
      <c r="F93" s="602" t="s">
        <v>74</v>
      </c>
      <c r="G93" s="224" t="s">
        <v>74</v>
      </c>
      <c r="H93" s="327" t="s">
        <v>85</v>
      </c>
      <c r="I93" s="52" t="s">
        <v>441</v>
      </c>
      <c r="J93" s="224" t="s">
        <v>138</v>
      </c>
      <c r="K93" s="325" t="s">
        <v>75</v>
      </c>
      <c r="M93" s="667" t="s">
        <v>138</v>
      </c>
      <c r="N93" s="667" t="s">
        <v>138</v>
      </c>
      <c r="O93" s="667" t="s">
        <v>138</v>
      </c>
      <c r="P93" s="667" t="s">
        <v>138</v>
      </c>
      <c r="Q93" s="775" t="s">
        <v>138</v>
      </c>
      <c r="R93" s="779"/>
      <c r="S93" s="779"/>
      <c r="T93" s="779"/>
    </row>
    <row r="94" spans="1:20" x14ac:dyDescent="0.35">
      <c r="A94" s="269"/>
      <c r="B94" s="225" t="s">
        <v>76</v>
      </c>
      <c r="C94" s="226"/>
      <c r="D94" s="328" t="s">
        <v>77</v>
      </c>
      <c r="E94" s="516"/>
      <c r="F94" s="602" t="s">
        <v>77</v>
      </c>
      <c r="G94" s="224" t="s">
        <v>77</v>
      </c>
      <c r="H94" s="327" t="s">
        <v>86</v>
      </c>
      <c r="I94" s="643">
        <f>+'Unit tariffs'!F$3</f>
        <v>0.15</v>
      </c>
      <c r="J94" s="224" t="s">
        <v>139</v>
      </c>
      <c r="K94" s="325" t="s">
        <v>78</v>
      </c>
      <c r="M94" s="667" t="s">
        <v>139</v>
      </c>
      <c r="N94" s="667" t="s">
        <v>139</v>
      </c>
      <c r="O94" s="667" t="s">
        <v>139</v>
      </c>
      <c r="P94" s="667" t="s">
        <v>139</v>
      </c>
      <c r="Q94" s="775" t="s">
        <v>139</v>
      </c>
      <c r="R94" s="779"/>
      <c r="S94" s="779"/>
      <c r="T94" s="779"/>
    </row>
    <row r="95" spans="1:20" x14ac:dyDescent="0.35">
      <c r="A95" s="269"/>
      <c r="B95" s="227" t="s">
        <v>1</v>
      </c>
      <c r="C95" s="226"/>
      <c r="D95" s="328" t="str">
        <f>D$4</f>
        <v>2016/2017</v>
      </c>
      <c r="E95" s="516"/>
      <c r="F95" s="665" t="str">
        <f>'Calc Sheet 23_24'!$H$11</f>
        <v>2025/2026</v>
      </c>
      <c r="G95" s="224" t="str">
        <f>'Calc Sheet 23_24'!$I$11</f>
        <v>2026/2027</v>
      </c>
      <c r="H95" s="327" t="str">
        <f>G95</f>
        <v>2026/2027</v>
      </c>
      <c r="I95" s="52" t="str">
        <f>G95</f>
        <v>2026/2027</v>
      </c>
      <c r="J95" s="224" t="str">
        <f>I95</f>
        <v>2026/2027</v>
      </c>
      <c r="K95" s="325" t="s">
        <v>79</v>
      </c>
      <c r="M95" s="667" t="s">
        <v>451</v>
      </c>
      <c r="N95" s="667" t="s">
        <v>578</v>
      </c>
      <c r="O95" s="667" t="s">
        <v>579</v>
      </c>
      <c r="P95" s="667" t="s">
        <v>580</v>
      </c>
      <c r="Q95" s="775" t="s">
        <v>620</v>
      </c>
      <c r="R95" s="779"/>
      <c r="S95" s="779"/>
      <c r="T95" s="779"/>
    </row>
    <row r="96" spans="1:20" ht="15" thickBot="1" x14ac:dyDescent="0.4">
      <c r="A96" s="293"/>
      <c r="B96" s="294" t="s">
        <v>1</v>
      </c>
      <c r="C96" s="295"/>
      <c r="D96" s="331" t="s">
        <v>80</v>
      </c>
      <c r="E96" s="517"/>
      <c r="F96" s="603" t="s">
        <v>80</v>
      </c>
      <c r="G96" s="334" t="s">
        <v>80</v>
      </c>
      <c r="H96" s="332"/>
      <c r="I96" s="333"/>
      <c r="J96" s="334"/>
      <c r="K96" s="335"/>
      <c r="M96" s="411"/>
      <c r="N96" s="411"/>
      <c r="O96" s="411"/>
      <c r="P96" s="411"/>
      <c r="Q96" s="776"/>
      <c r="R96" s="779"/>
      <c r="S96" s="779"/>
      <c r="T96" s="779"/>
    </row>
    <row r="97" spans="1:20" ht="15" thickTop="1" x14ac:dyDescent="0.35">
      <c r="A97" s="286"/>
      <c r="B97" s="287" t="str">
        <f>'Calc Sheet 23_24'!B1089</f>
        <v>7. ALTERATIONS TO ELECTRICITY SERVICES</v>
      </c>
      <c r="C97" s="288"/>
      <c r="D97" s="289" t="s">
        <v>1</v>
      </c>
      <c r="E97" s="525"/>
      <c r="F97" s="609" t="s">
        <v>1</v>
      </c>
      <c r="G97" s="382" t="s">
        <v>1</v>
      </c>
      <c r="H97" s="290" t="s">
        <v>1</v>
      </c>
      <c r="I97" s="291"/>
      <c r="J97" s="560"/>
      <c r="K97" s="310"/>
      <c r="L97" s="1"/>
      <c r="M97" s="413"/>
      <c r="N97" s="413"/>
      <c r="O97" s="413"/>
      <c r="P97" s="413"/>
      <c r="Q97" s="777"/>
      <c r="R97" s="779"/>
      <c r="S97" s="779"/>
      <c r="T97" s="779"/>
    </row>
    <row r="98" spans="1:20" x14ac:dyDescent="0.35">
      <c r="A98" s="269"/>
      <c r="B98" s="221" t="s">
        <v>1</v>
      </c>
      <c r="C98" s="222"/>
      <c r="D98" s="201"/>
      <c r="E98" s="521"/>
      <c r="F98" s="606"/>
      <c r="G98" s="379"/>
      <c r="H98" s="219" t="s">
        <v>1</v>
      </c>
      <c r="I98" s="216"/>
      <c r="J98" s="561"/>
      <c r="K98" s="270"/>
      <c r="L98" s="1"/>
      <c r="M98" s="415"/>
      <c r="N98" s="415"/>
      <c r="O98" s="415"/>
      <c r="P98" s="415"/>
      <c r="Q98" s="780"/>
      <c r="R98" s="779"/>
      <c r="S98" s="779"/>
      <c r="T98" s="779"/>
    </row>
    <row r="99" spans="1:20" ht="26" x14ac:dyDescent="0.35">
      <c r="A99" s="269"/>
      <c r="B99" s="221" t="str">
        <f>'Calc Sheet 23_24'!B1091</f>
        <v>7.1.1 Conversion of a single register meter to Single phase Pre-payment where meterbox exist on erf boundary - ( No charge for Prepayment  meter)</v>
      </c>
      <c r="C99" s="222"/>
      <c r="D99" s="201">
        <f>'Calc Sheet 23_24'!H1113</f>
        <v>2060</v>
      </c>
      <c r="E99" s="521">
        <v>1410</v>
      </c>
      <c r="F99" s="379">
        <f>'Calc Sheet 23_24'!H1113</f>
        <v>2060</v>
      </c>
      <c r="G99" s="379">
        <f>'Calc Sheet 23_24'!I1113</f>
        <v>2330</v>
      </c>
      <c r="H99" s="228">
        <f t="shared" ref="H99:H106" si="6">(G99-F99)/F99</f>
        <v>0.13106796116504854</v>
      </c>
      <c r="I99" s="229">
        <f t="shared" ref="I99:I110" si="7">G99*I$3</f>
        <v>349.5</v>
      </c>
      <c r="J99" s="562">
        <f t="shared" ref="J99:J110" si="8">G99+I99</f>
        <v>2679.5</v>
      </c>
      <c r="K99" s="271">
        <v>9100033030416</v>
      </c>
      <c r="L99" s="1"/>
      <c r="M99" s="417">
        <f t="shared" ref="M99:M110" si="9">J99+L99</f>
        <v>2679.5</v>
      </c>
      <c r="N99" s="417">
        <f>+$M99*(1+'Unit tariffs'!$F$2)</f>
        <v>2832.2314999999999</v>
      </c>
      <c r="O99" s="417">
        <f>+$N99*(1+'Unit tariffs'!$F$2)</f>
        <v>2993.6686954999996</v>
      </c>
      <c r="P99" s="417">
        <f>+$O99*(1+'Unit tariffs'!$F$2)</f>
        <v>3164.3078111434993</v>
      </c>
      <c r="Q99" s="781">
        <f>+$P99*(1+'Unit tariffs'!$F$2)</f>
        <v>3344.6733563786784</v>
      </c>
      <c r="R99" s="779" t="s">
        <v>633</v>
      </c>
      <c r="S99" s="779" t="s">
        <v>633</v>
      </c>
      <c r="T99" s="779" t="s">
        <v>633</v>
      </c>
    </row>
    <row r="100" spans="1:20" ht="26" x14ac:dyDescent="0.35">
      <c r="A100" s="269"/>
      <c r="B100" s="221" t="str">
        <f>'Calc Sheet 23_24'!B1120</f>
        <v>7.1.2 Conversion of Three phase (TOU/kWH) connection to Prepayment meter - Existing meterbox on erf boundary</v>
      </c>
      <c r="C100" s="222" t="s">
        <v>295</v>
      </c>
      <c r="D100" s="201">
        <f>'Calc Sheet 23_24'!H1143</f>
        <v>1810</v>
      </c>
      <c r="E100" s="521">
        <v>9390</v>
      </c>
      <c r="F100" s="379">
        <f>'Calc Sheet 23_24'!H1143</f>
        <v>1810</v>
      </c>
      <c r="G100" s="379">
        <f>'Calc Sheet 23_24'!I1143</f>
        <v>2030</v>
      </c>
      <c r="H100" s="228">
        <f t="shared" si="6"/>
        <v>0.12154696132596685</v>
      </c>
      <c r="I100" s="229">
        <f t="shared" si="7"/>
        <v>304.5</v>
      </c>
      <c r="J100" s="562">
        <f t="shared" si="8"/>
        <v>2334.5</v>
      </c>
      <c r="K100" s="271">
        <v>9100033030416</v>
      </c>
      <c r="L100" s="1"/>
      <c r="M100" s="417">
        <f t="shared" si="9"/>
        <v>2334.5</v>
      </c>
      <c r="N100" s="417">
        <f>+$M100*(1+'Unit tariffs'!$F$2)</f>
        <v>2467.5664999999999</v>
      </c>
      <c r="O100" s="417">
        <f>+$N100*(1+'Unit tariffs'!$F$2)</f>
        <v>2608.2177904999999</v>
      </c>
      <c r="P100" s="417">
        <f>+$O100*(1+'Unit tariffs'!$F$2)</f>
        <v>2756.8862045584997</v>
      </c>
      <c r="Q100" s="781">
        <f>+$P100*(1+'Unit tariffs'!$F$2)</f>
        <v>2914.0287182183338</v>
      </c>
      <c r="R100" s="779" t="s">
        <v>633</v>
      </c>
      <c r="S100" s="779" t="s">
        <v>633</v>
      </c>
      <c r="T100" s="779" t="s">
        <v>633</v>
      </c>
    </row>
    <row r="101" spans="1:20" x14ac:dyDescent="0.35">
      <c r="A101" s="269"/>
      <c r="B101" s="221" t="str">
        <f>'Calc Sheet 23_24'!B1149</f>
        <v xml:space="preserve">7.1.3 Upgrade of single phase Urban connection to three phase - Time of Use Meter(TOU)            </v>
      </c>
      <c r="C101" s="222" t="s">
        <v>295</v>
      </c>
      <c r="D101" s="201">
        <f>'Calc Sheet 23_24'!H1181</f>
        <v>21350</v>
      </c>
      <c r="E101" s="521">
        <v>18190</v>
      </c>
      <c r="F101" s="379">
        <f>'Calc Sheet 23_24'!H1181</f>
        <v>21350</v>
      </c>
      <c r="G101" s="379">
        <f>'Calc Sheet 23_24'!I1181</f>
        <v>13790</v>
      </c>
      <c r="H101" s="228">
        <f t="shared" si="6"/>
        <v>-0.35409836065573769</v>
      </c>
      <c r="I101" s="229">
        <f t="shared" si="7"/>
        <v>2068.5</v>
      </c>
      <c r="J101" s="562">
        <f t="shared" si="8"/>
        <v>15858.5</v>
      </c>
      <c r="K101" s="271">
        <v>9100033030416</v>
      </c>
      <c r="L101" s="1"/>
      <c r="M101" s="417">
        <f t="shared" si="9"/>
        <v>15858.5</v>
      </c>
      <c r="N101" s="417">
        <f>+$M101*(1+'Unit tariffs'!$F$2)</f>
        <v>16762.434499999999</v>
      </c>
      <c r="O101" s="417">
        <f>+$N101*(1+'Unit tariffs'!$F$2)</f>
        <v>17717.893266499999</v>
      </c>
      <c r="P101" s="417">
        <f>+$O101*(1+'Unit tariffs'!$F$2)</f>
        <v>18727.813182690497</v>
      </c>
      <c r="Q101" s="781">
        <f>+$P101*(1+'Unit tariffs'!$F$2)</f>
        <v>19795.298534103855</v>
      </c>
      <c r="R101" s="779" t="s">
        <v>633</v>
      </c>
      <c r="S101" s="779" t="s">
        <v>633</v>
      </c>
      <c r="T101" s="779" t="s">
        <v>633</v>
      </c>
    </row>
    <row r="102" spans="1:20" x14ac:dyDescent="0.35">
      <c r="A102" s="269"/>
      <c r="B102" s="221" t="str">
        <f>'Calc Sheet 23_24'!B1186</f>
        <v xml:space="preserve">7.1.4 Upgrade of single phase Urban connection to three phase - Split pre-payment meter             </v>
      </c>
      <c r="C102" s="222" t="s">
        <v>295</v>
      </c>
      <c r="D102" s="201">
        <f>'Calc Sheet 23_24'!H1217</f>
        <v>13670</v>
      </c>
      <c r="E102" s="521">
        <v>10960</v>
      </c>
      <c r="F102" s="379">
        <f>'Calc Sheet 23_24'!H1217</f>
        <v>13670</v>
      </c>
      <c r="G102" s="379">
        <f>'Calc Sheet 23_24'!I1217</f>
        <v>14760</v>
      </c>
      <c r="H102" s="228">
        <f t="shared" si="6"/>
        <v>7.9736649597659109E-2</v>
      </c>
      <c r="I102" s="229">
        <f t="shared" si="7"/>
        <v>2214</v>
      </c>
      <c r="J102" s="562">
        <f t="shared" si="8"/>
        <v>16974</v>
      </c>
      <c r="K102" s="271">
        <v>9100033030416</v>
      </c>
      <c r="L102" s="1"/>
      <c r="M102" s="417">
        <f t="shared" si="9"/>
        <v>16974</v>
      </c>
      <c r="N102" s="417">
        <f>+$M102*(1+'Unit tariffs'!$F$2)</f>
        <v>17941.518</v>
      </c>
      <c r="O102" s="417">
        <f>+$N102*(1+'Unit tariffs'!$F$2)</f>
        <v>18964.184525999997</v>
      </c>
      <c r="P102" s="417">
        <f>+$O102*(1+'Unit tariffs'!$F$2)</f>
        <v>20045.143043981996</v>
      </c>
      <c r="Q102" s="781">
        <f>+$P102*(1+'Unit tariffs'!$F$2)</f>
        <v>21187.716197488968</v>
      </c>
      <c r="R102" s="779" t="s">
        <v>633</v>
      </c>
      <c r="S102" s="779" t="s">
        <v>633</v>
      </c>
      <c r="T102" s="779" t="s">
        <v>633</v>
      </c>
    </row>
    <row r="103" spans="1:20" x14ac:dyDescent="0.35">
      <c r="A103" s="269"/>
      <c r="B103" s="221" t="str">
        <f>'Calc Sheet 23_24'!B1223</f>
        <v xml:space="preserve">8.1.5 Upgrading of single phase Urban connection to three phase - Time of Use Meter(TOU)            </v>
      </c>
      <c r="C103" s="222" t="s">
        <v>295</v>
      </c>
      <c r="D103" s="201">
        <f>'Calc Sheet 23_24'!H1254</f>
        <v>18400</v>
      </c>
      <c r="E103" s="521">
        <v>15890</v>
      </c>
      <c r="F103" s="379">
        <f>'Calc Sheet 23_24'!H1254</f>
        <v>18400</v>
      </c>
      <c r="G103" s="379">
        <f>'Calc Sheet 23_24'!I1254</f>
        <v>10460</v>
      </c>
      <c r="H103" s="228">
        <f t="shared" si="6"/>
        <v>-0.43152173913043479</v>
      </c>
      <c r="I103" s="229">
        <f t="shared" si="7"/>
        <v>1569</v>
      </c>
      <c r="J103" s="562">
        <f t="shared" si="8"/>
        <v>12029</v>
      </c>
      <c r="K103" s="271">
        <v>9100033030416</v>
      </c>
      <c r="L103" s="1"/>
      <c r="M103" s="417">
        <f t="shared" si="9"/>
        <v>12029</v>
      </c>
      <c r="N103" s="417">
        <f>+$M103*(1+'Unit tariffs'!$F$2)</f>
        <v>12714.652999999998</v>
      </c>
      <c r="O103" s="417">
        <f>+$N103*(1+'Unit tariffs'!$F$2)</f>
        <v>13439.388220999997</v>
      </c>
      <c r="P103" s="417">
        <f>+$O103*(1+'Unit tariffs'!$F$2)</f>
        <v>14205.433349596997</v>
      </c>
      <c r="Q103" s="781">
        <f>+$P103*(1+'Unit tariffs'!$F$2)</f>
        <v>15015.143050524024</v>
      </c>
      <c r="R103" s="779" t="s">
        <v>633</v>
      </c>
      <c r="S103" s="779" t="s">
        <v>633</v>
      </c>
      <c r="T103" s="779" t="s">
        <v>633</v>
      </c>
    </row>
    <row r="104" spans="1:20" x14ac:dyDescent="0.35">
      <c r="A104" s="269"/>
      <c r="B104" s="221" t="str">
        <f>'Calc Sheet 23_24'!B1258</f>
        <v xml:space="preserve">7.1.6 Upgrade of single phase Urban connection to three phase - Split pre-payment meter            </v>
      </c>
      <c r="C104" s="222" t="s">
        <v>295</v>
      </c>
      <c r="D104" s="201">
        <f>'Calc Sheet 23_24'!H1288</f>
        <v>16290</v>
      </c>
      <c r="E104" s="521">
        <v>14355</v>
      </c>
      <c r="F104" s="379">
        <f>'Calc Sheet 23_24'!H1288</f>
        <v>16290</v>
      </c>
      <c r="G104" s="379">
        <f>'Calc Sheet 23_24'!I1288</f>
        <v>10090</v>
      </c>
      <c r="H104" s="228">
        <f t="shared" si="6"/>
        <v>-0.38060159607120936</v>
      </c>
      <c r="I104" s="229">
        <f t="shared" si="7"/>
        <v>1513.5</v>
      </c>
      <c r="J104" s="562">
        <f t="shared" si="8"/>
        <v>11603.5</v>
      </c>
      <c r="K104" s="271">
        <v>9100033030416</v>
      </c>
      <c r="M104" s="417">
        <f t="shared" si="9"/>
        <v>11603.5</v>
      </c>
      <c r="N104" s="417">
        <f>+$M104*(1+'Unit tariffs'!$F$2)</f>
        <v>12264.8995</v>
      </c>
      <c r="O104" s="417">
        <f>+$N104*(1+'Unit tariffs'!$F$2)</f>
        <v>12963.998771499999</v>
      </c>
      <c r="P104" s="417">
        <f>+$O104*(1+'Unit tariffs'!$F$2)</f>
        <v>13702.946701475497</v>
      </c>
      <c r="Q104" s="781">
        <f>+$P104*(1+'Unit tariffs'!$F$2)</f>
        <v>14484.0146634596</v>
      </c>
      <c r="R104" s="779" t="s">
        <v>633</v>
      </c>
      <c r="S104" s="779" t="s">
        <v>633</v>
      </c>
      <c r="T104" s="779" t="s">
        <v>633</v>
      </c>
    </row>
    <row r="105" spans="1:20" x14ac:dyDescent="0.35">
      <c r="A105" s="269"/>
      <c r="B105" s="221" t="str">
        <f>'Calc Sheet 23_24'!B1293</f>
        <v xml:space="preserve">7.1.7 Upgrade of single phase Peri-Urban connection to three phase -Time of Use Meter(TOU)  </v>
      </c>
      <c r="C105" s="222" t="s">
        <v>297</v>
      </c>
      <c r="D105" s="201">
        <f>'Calc Sheet 23_24'!H1325</f>
        <v>22900</v>
      </c>
      <c r="E105" s="521">
        <v>20570</v>
      </c>
      <c r="F105" s="379">
        <f>'Calc Sheet 23_24'!H1325</f>
        <v>22900</v>
      </c>
      <c r="G105" s="379">
        <f>'Calc Sheet 23_24'!I1325</f>
        <v>19730</v>
      </c>
      <c r="H105" s="228">
        <f t="shared" si="6"/>
        <v>-0.13842794759825328</v>
      </c>
      <c r="I105" s="229">
        <f t="shared" si="7"/>
        <v>2959.5</v>
      </c>
      <c r="J105" s="562">
        <f t="shared" si="8"/>
        <v>22689.5</v>
      </c>
      <c r="K105" s="271">
        <v>9100033030416</v>
      </c>
      <c r="M105" s="417">
        <f t="shared" si="9"/>
        <v>22689.5</v>
      </c>
      <c r="N105" s="417">
        <f>+$M105*(1+'Unit tariffs'!$F$2)</f>
        <v>23982.801499999998</v>
      </c>
      <c r="O105" s="417">
        <f>+$N105*(1+'Unit tariffs'!$F$2)</f>
        <v>25349.821185499997</v>
      </c>
      <c r="P105" s="417">
        <f>+$O105*(1+'Unit tariffs'!$F$2)</f>
        <v>26794.760993073494</v>
      </c>
      <c r="Q105" s="781">
        <f>+$P105*(1+'Unit tariffs'!$F$2)</f>
        <v>28322.062369678682</v>
      </c>
      <c r="R105" s="779" t="s">
        <v>633</v>
      </c>
      <c r="S105" s="779" t="s">
        <v>633</v>
      </c>
      <c r="T105" s="779" t="s">
        <v>633</v>
      </c>
    </row>
    <row r="106" spans="1:20" x14ac:dyDescent="0.35">
      <c r="A106" s="269"/>
      <c r="B106" s="221" t="str">
        <f>'Calc Sheet 23_24'!B1330</f>
        <v xml:space="preserve">7.1.8 Upgrade of single phase Peri-Urban connection to three phase -Split pre-payment meter    </v>
      </c>
      <c r="C106" s="222" t="s">
        <v>297</v>
      </c>
      <c r="D106" s="201">
        <f>'Calc Sheet 23_24'!H1362</f>
        <v>24860</v>
      </c>
      <c r="E106" s="521">
        <v>23200</v>
      </c>
      <c r="F106" s="379">
        <f>'Calc Sheet 23_24'!H1362</f>
        <v>24860</v>
      </c>
      <c r="G106" s="379">
        <f>'Calc Sheet 23_24'!I1362</f>
        <v>19730</v>
      </c>
      <c r="H106" s="228">
        <f t="shared" si="6"/>
        <v>-0.20635559131134351</v>
      </c>
      <c r="I106" s="229">
        <f t="shared" si="7"/>
        <v>2959.5</v>
      </c>
      <c r="J106" s="562">
        <f t="shared" si="8"/>
        <v>22689.5</v>
      </c>
      <c r="K106" s="271">
        <v>9100033030416</v>
      </c>
      <c r="M106" s="417">
        <f t="shared" si="9"/>
        <v>22689.5</v>
      </c>
      <c r="N106" s="417">
        <f>+$M106*(1+'Unit tariffs'!$F$2)</f>
        <v>23982.801499999998</v>
      </c>
      <c r="O106" s="417">
        <f>+$N106*(1+'Unit tariffs'!$F$2)</f>
        <v>25349.821185499997</v>
      </c>
      <c r="P106" s="417">
        <f>+$O106*(1+'Unit tariffs'!$F$2)</f>
        <v>26794.760993073494</v>
      </c>
      <c r="Q106" s="781">
        <f>+$P106*(1+'Unit tariffs'!$F$2)</f>
        <v>28322.062369678682</v>
      </c>
      <c r="R106" s="779" t="s">
        <v>633</v>
      </c>
      <c r="S106" s="779" t="s">
        <v>633</v>
      </c>
      <c r="T106" s="779" t="s">
        <v>633</v>
      </c>
    </row>
    <row r="107" spans="1:20" x14ac:dyDescent="0.35">
      <c r="A107" s="269"/>
      <c r="B107" s="221" t="str">
        <f>'Calc Sheet 23_24'!B1367</f>
        <v xml:space="preserve">7.1.9 Upgrade of single phase Peri-Urban connection to three phase -Time of Use Meter(TOU)  </v>
      </c>
      <c r="C107" s="222" t="s">
        <v>297</v>
      </c>
      <c r="D107" s="201">
        <f>'Calc Sheet 23_24'!H1399</f>
        <v>23860</v>
      </c>
      <c r="E107" s="521">
        <v>18810</v>
      </c>
      <c r="F107" s="379">
        <f>'Calc Sheet 23_24'!H1399</f>
        <v>23860</v>
      </c>
      <c r="G107" s="379">
        <f>'Calc Sheet 23_24'!I1399</f>
        <v>16550</v>
      </c>
      <c r="H107" s="228">
        <f t="shared" ref="H107" si="10">(G107-D107)/D107</f>
        <v>-0.30637049455155069</v>
      </c>
      <c r="I107" s="229">
        <f t="shared" si="7"/>
        <v>2482.5</v>
      </c>
      <c r="J107" s="562">
        <f t="shared" si="8"/>
        <v>19032.5</v>
      </c>
      <c r="K107" s="271">
        <v>9100033030416</v>
      </c>
      <c r="M107" s="417">
        <f t="shared" si="9"/>
        <v>19032.5</v>
      </c>
      <c r="N107" s="417">
        <f>+$M107*(1+'Unit tariffs'!$F$2)</f>
        <v>20117.352499999997</v>
      </c>
      <c r="O107" s="417">
        <f>+$N107*(1+'Unit tariffs'!$F$2)</f>
        <v>21264.041592499994</v>
      </c>
      <c r="P107" s="417">
        <f>+$O107*(1+'Unit tariffs'!$F$2)</f>
        <v>22476.091963272494</v>
      </c>
      <c r="Q107" s="781">
        <f>+$P107*(1+'Unit tariffs'!$F$2)</f>
        <v>23757.229205179025</v>
      </c>
      <c r="R107" s="779" t="s">
        <v>633</v>
      </c>
      <c r="S107" s="779" t="s">
        <v>633</v>
      </c>
      <c r="T107" s="779" t="s">
        <v>633</v>
      </c>
    </row>
    <row r="108" spans="1:20" x14ac:dyDescent="0.35">
      <c r="A108" s="269"/>
      <c r="B108" s="221" t="str">
        <f>'Calc Sheet 23_24'!B1404</f>
        <v xml:space="preserve">7.1.10 Conversion of single phase Peri-Urban connection to three phase - Split pre-payment meter      </v>
      </c>
      <c r="C108" s="222" t="s">
        <v>297</v>
      </c>
      <c r="D108" s="201">
        <f>'Calc Sheet 23_24'!H1435</f>
        <v>21370</v>
      </c>
      <c r="E108" s="521">
        <v>20540</v>
      </c>
      <c r="F108" s="379">
        <f>'Calc Sheet 23_24'!H1435</f>
        <v>21370</v>
      </c>
      <c r="G108" s="379">
        <f>'Calc Sheet 23_24'!I1435</f>
        <v>15780</v>
      </c>
      <c r="H108" s="228">
        <f>(G108-F108)/F108</f>
        <v>-0.26158165652784277</v>
      </c>
      <c r="I108" s="229">
        <f t="shared" si="7"/>
        <v>2367</v>
      </c>
      <c r="J108" s="562">
        <f t="shared" si="8"/>
        <v>18147</v>
      </c>
      <c r="K108" s="271">
        <v>9100033030416</v>
      </c>
      <c r="M108" s="417">
        <f t="shared" si="9"/>
        <v>18147</v>
      </c>
      <c r="N108" s="417">
        <f>+$M108*(1+'Unit tariffs'!$F$2)</f>
        <v>19181.378999999997</v>
      </c>
      <c r="O108" s="417">
        <f>+$N108*(1+'Unit tariffs'!$F$2)</f>
        <v>20274.717602999997</v>
      </c>
      <c r="P108" s="417">
        <f>+$O108*(1+'Unit tariffs'!$F$2)</f>
        <v>21430.376506370994</v>
      </c>
      <c r="Q108" s="781">
        <f>+$P108*(1+'Unit tariffs'!$F$2)</f>
        <v>22651.90796723414</v>
      </c>
      <c r="R108" s="779" t="s">
        <v>633</v>
      </c>
      <c r="S108" s="779" t="s">
        <v>633</v>
      </c>
      <c r="T108" s="779" t="s">
        <v>633</v>
      </c>
    </row>
    <row r="109" spans="1:20" x14ac:dyDescent="0.35">
      <c r="A109" s="269"/>
      <c r="B109" s="221" t="str">
        <f>'Calc Sheet 23_24'!B1440</f>
        <v>8.1.11 Shifting of meter to meter box on stand boundary - Domestic connection - Urban</v>
      </c>
      <c r="C109" s="222" t="s">
        <v>295</v>
      </c>
      <c r="D109" s="201">
        <f>'Calc Sheet 23_24'!H1447</f>
        <v>4980</v>
      </c>
      <c r="E109" s="522">
        <v>2230</v>
      </c>
      <c r="F109" s="379">
        <f>'Calc Sheet 23_24'!H1447</f>
        <v>4980</v>
      </c>
      <c r="G109" s="379">
        <f>'Calc Sheet 23_24'!I1447</f>
        <v>4930</v>
      </c>
      <c r="H109" s="228">
        <f>(G109-F109)/F109</f>
        <v>-1.0040160642570281E-2</v>
      </c>
      <c r="I109" s="229">
        <f t="shared" si="7"/>
        <v>739.5</v>
      </c>
      <c r="J109" s="562">
        <f t="shared" si="8"/>
        <v>5669.5</v>
      </c>
      <c r="K109" s="271">
        <v>9100033030416</v>
      </c>
      <c r="M109" s="417">
        <f t="shared" si="9"/>
        <v>5669.5</v>
      </c>
      <c r="N109" s="417">
        <f>+$M109*(1+'Unit tariffs'!$F$2)</f>
        <v>5992.6614999999993</v>
      </c>
      <c r="O109" s="417">
        <f>+$N109*(1+'Unit tariffs'!$F$2)</f>
        <v>6334.243205499999</v>
      </c>
      <c r="P109" s="417">
        <f>+$O109*(1+'Unit tariffs'!$F$2)</f>
        <v>6695.2950682134988</v>
      </c>
      <c r="Q109" s="781">
        <f>+$P109*(1+'Unit tariffs'!$F$2)</f>
        <v>7076.9268871016675</v>
      </c>
      <c r="R109" s="779" t="s">
        <v>633</v>
      </c>
      <c r="S109" s="779" t="s">
        <v>633</v>
      </c>
      <c r="T109" s="779" t="s">
        <v>633</v>
      </c>
    </row>
    <row r="110" spans="1:20" ht="26" x14ac:dyDescent="0.35">
      <c r="A110" s="269"/>
      <c r="B110" s="221" t="str">
        <f>'Calc Sheet 23_24'!B1452</f>
        <v>8.1.12 Shifting of connection - Pre-payment with ready board (per single connection) - Overhead only</v>
      </c>
      <c r="C110" s="222"/>
      <c r="D110" s="201">
        <f>'Calc Sheet 23_24'!H1476</f>
        <v>2760</v>
      </c>
      <c r="E110" s="521">
        <v>1840</v>
      </c>
      <c r="F110" s="379">
        <f>'Calc Sheet 23_24'!H1476</f>
        <v>2760</v>
      </c>
      <c r="G110" s="379">
        <f>'Calc Sheet 23_24'!I1476</f>
        <v>3440</v>
      </c>
      <c r="H110" s="228">
        <f>(G110-F110)/F110</f>
        <v>0.24637681159420291</v>
      </c>
      <c r="I110" s="229">
        <f t="shared" si="7"/>
        <v>516</v>
      </c>
      <c r="J110" s="562">
        <f t="shared" si="8"/>
        <v>3956</v>
      </c>
      <c r="K110" s="271">
        <v>9100033030416</v>
      </c>
      <c r="M110" s="417">
        <f t="shared" si="9"/>
        <v>3956</v>
      </c>
      <c r="N110" s="417">
        <f>+$M110*(1+'Unit tariffs'!$F$2)</f>
        <v>4181.4920000000002</v>
      </c>
      <c r="O110" s="417">
        <f>+$N110*(1+'Unit tariffs'!$F$2)</f>
        <v>4419.8370439999999</v>
      </c>
      <c r="P110" s="417">
        <f>+$O110*(1+'Unit tariffs'!$F$2)</f>
        <v>4671.7677555079999</v>
      </c>
      <c r="Q110" s="781">
        <f>+$P110*(1+'Unit tariffs'!$F$2)</f>
        <v>4938.0585175719552</v>
      </c>
      <c r="R110" s="779" t="s">
        <v>633</v>
      </c>
      <c r="S110" s="779" t="s">
        <v>633</v>
      </c>
      <c r="T110" s="779" t="s">
        <v>633</v>
      </c>
    </row>
    <row r="111" spans="1:20" x14ac:dyDescent="0.35">
      <c r="A111" s="269"/>
      <c r="B111" s="221" t="s">
        <v>1</v>
      </c>
      <c r="C111" s="222"/>
      <c r="D111" s="218" t="s">
        <v>1</v>
      </c>
      <c r="E111" s="520"/>
      <c r="F111" s="220" t="s">
        <v>1</v>
      </c>
      <c r="G111" s="220" t="s">
        <v>1</v>
      </c>
      <c r="H111" s="242" t="s">
        <v>1</v>
      </c>
      <c r="I111" s="230"/>
      <c r="J111" s="224"/>
      <c r="K111" s="272" t="s">
        <v>81</v>
      </c>
      <c r="M111" s="409"/>
      <c r="N111" s="409"/>
      <c r="O111" s="417"/>
      <c r="P111" s="417"/>
      <c r="Q111" s="781"/>
      <c r="R111" s="779"/>
      <c r="S111" s="779"/>
      <c r="T111" s="779"/>
    </row>
    <row r="112" spans="1:20" ht="21" customHeight="1" x14ac:dyDescent="0.35">
      <c r="A112" s="286"/>
      <c r="B112" s="287" t="str">
        <f>'Calc Sheet 23_24'!B1481</f>
        <v>9. SPECIAL SERVICE LEVIES</v>
      </c>
      <c r="C112" s="288"/>
      <c r="D112" s="305"/>
      <c r="E112" s="518"/>
      <c r="F112" s="292"/>
      <c r="G112" s="292"/>
      <c r="H112" s="290"/>
      <c r="I112" s="291"/>
      <c r="J112" s="560"/>
      <c r="K112" s="310"/>
      <c r="M112" s="413"/>
      <c r="N112" s="413"/>
      <c r="O112" s="417"/>
      <c r="P112" s="417"/>
      <c r="Q112" s="781"/>
      <c r="R112" s="779"/>
      <c r="S112" s="779"/>
      <c r="T112" s="779"/>
    </row>
    <row r="113" spans="1:20" x14ac:dyDescent="0.35">
      <c r="A113" s="269"/>
      <c r="B113" s="221" t="s">
        <v>1</v>
      </c>
      <c r="C113" s="222"/>
      <c r="D113" s="218"/>
      <c r="E113" s="520"/>
      <c r="F113" s="220"/>
      <c r="G113" s="220"/>
      <c r="H113" s="219"/>
      <c r="I113" s="216"/>
      <c r="J113" s="561"/>
      <c r="K113" s="270"/>
      <c r="M113" s="415"/>
      <c r="N113" s="415"/>
      <c r="O113" s="417"/>
      <c r="P113" s="417"/>
      <c r="Q113" s="781"/>
      <c r="R113" s="779"/>
      <c r="S113" s="779"/>
      <c r="T113" s="779"/>
    </row>
    <row r="114" spans="1:20" hidden="1" x14ac:dyDescent="0.35">
      <c r="A114" s="269"/>
      <c r="B114" s="221" t="str">
        <f>'Calc Sheet 23_24'!B1483</f>
        <v>9.1.1 Electricity meter accuracy test at request by the consumer - Removal of meter</v>
      </c>
      <c r="C114" s="222"/>
      <c r="D114" s="201">
        <f>'Calc Sheet 23_24'!H1505</f>
        <v>1400</v>
      </c>
      <c r="E114" s="521">
        <v>390</v>
      </c>
      <c r="F114" s="379">
        <f>'Calc Sheet 23_24'!H1505</f>
        <v>1400</v>
      </c>
      <c r="G114" s="379">
        <f>'Calc Sheet 23_24'!I1505</f>
        <v>1590</v>
      </c>
      <c r="H114" s="228">
        <f>(G114-F114)/F114</f>
        <v>0.1357142857142857</v>
      </c>
      <c r="I114" s="229">
        <f>G114*I$3</f>
        <v>238.5</v>
      </c>
      <c r="J114" s="562">
        <f>G114+I114</f>
        <v>1828.5</v>
      </c>
      <c r="K114" s="271">
        <v>9100033030416</v>
      </c>
      <c r="M114" s="417">
        <f>J114+L114</f>
        <v>1828.5</v>
      </c>
      <c r="N114" s="417">
        <f>+$M114*(1+'Unit tariffs'!$F$2)</f>
        <v>1932.7244999999998</v>
      </c>
      <c r="O114" s="417">
        <f>+$N114*(1+'Unit tariffs'!$F$2)</f>
        <v>2042.8897964999996</v>
      </c>
      <c r="P114" s="417">
        <f>+$O114*(1+'Unit tariffs'!$F$2)</f>
        <v>2159.3345149004995</v>
      </c>
      <c r="Q114" s="781">
        <f>+$P114*(1+'Unit tariffs'!$F$2)</f>
        <v>2282.416582249828</v>
      </c>
      <c r="R114" s="779" t="s">
        <v>633</v>
      </c>
      <c r="S114" s="779" t="s">
        <v>633</v>
      </c>
      <c r="T114" s="779" t="s">
        <v>633</v>
      </c>
    </row>
    <row r="115" spans="1:20" hidden="1" x14ac:dyDescent="0.35">
      <c r="A115" s="269"/>
      <c r="B115" s="221" t="str">
        <f>'Calc Sheet 23_24'!B1485</f>
        <v xml:space="preserve">       Meter to be removed by supplier for testing. Testing of the meter under item 9.1.2 or 9.1.3</v>
      </c>
      <c r="C115" s="222"/>
      <c r="D115" s="201"/>
      <c r="E115" s="521"/>
      <c r="F115" s="379"/>
      <c r="G115" s="379"/>
      <c r="H115" s="242" t="s">
        <v>1</v>
      </c>
      <c r="I115" s="230"/>
      <c r="J115" s="224"/>
      <c r="K115" s="272"/>
      <c r="M115" s="409"/>
      <c r="N115" s="409"/>
      <c r="O115" s="417"/>
      <c r="P115" s="417"/>
      <c r="Q115" s="781"/>
      <c r="R115" s="779" t="s">
        <v>633</v>
      </c>
      <c r="S115" s="779" t="s">
        <v>633</v>
      </c>
      <c r="T115" s="779" t="s">
        <v>633</v>
      </c>
    </row>
    <row r="116" spans="1:20" hidden="1" x14ac:dyDescent="0.35">
      <c r="A116" s="269"/>
      <c r="B116" s="221" t="str">
        <f>'Calc Sheet 23_24'!B1510</f>
        <v>9.1.2 Request for accuracy test of electricity meter - Testing of meter (1 or 3 phase)</v>
      </c>
      <c r="C116" s="222"/>
      <c r="D116" s="201">
        <f>'Calc Sheet 23_24'!H1527</f>
        <v>311</v>
      </c>
      <c r="E116" s="522">
        <v>140</v>
      </c>
      <c r="F116" s="379">
        <f>'Calc Sheet 23_24'!H1527</f>
        <v>311</v>
      </c>
      <c r="G116" s="379">
        <f>'Calc Sheet 23_24'!I1527</f>
        <v>338</v>
      </c>
      <c r="H116" s="228">
        <f>(G116-F116)/F116</f>
        <v>8.6816720257234734E-2</v>
      </c>
      <c r="I116" s="229">
        <f>G116*I$3</f>
        <v>50.699999999999996</v>
      </c>
      <c r="J116" s="562">
        <f>G116+I116</f>
        <v>388.7</v>
      </c>
      <c r="K116" s="271">
        <v>9100033030416</v>
      </c>
      <c r="M116" s="417">
        <f>J116+L116</f>
        <v>388.7</v>
      </c>
      <c r="N116" s="417">
        <f>+$M116*(1+'Unit tariffs'!$F$2)</f>
        <v>410.85589999999996</v>
      </c>
      <c r="O116" s="417">
        <f>+$N116*(1+'Unit tariffs'!$F$2)</f>
        <v>434.27468629999993</v>
      </c>
      <c r="P116" s="417">
        <f>+$O116*(1+'Unit tariffs'!$F$2)</f>
        <v>459.02834341909988</v>
      </c>
      <c r="Q116" s="781">
        <f>+$P116*(1+'Unit tariffs'!$F$2)</f>
        <v>485.19295899398855</v>
      </c>
      <c r="R116" s="779" t="s">
        <v>633</v>
      </c>
      <c r="S116" s="779" t="s">
        <v>633</v>
      </c>
      <c r="T116" s="779" t="s">
        <v>633</v>
      </c>
    </row>
    <row r="117" spans="1:20" hidden="1" x14ac:dyDescent="0.35">
      <c r="A117" s="269"/>
      <c r="B117" s="221" t="str">
        <f>'Calc Sheet 23_24'!B1512</f>
        <v xml:space="preserve">      Meter to be removed under item 9.1.1</v>
      </c>
      <c r="C117" s="222"/>
      <c r="D117" s="201"/>
      <c r="E117" s="521"/>
      <c r="F117" s="379"/>
      <c r="G117" s="379"/>
      <c r="H117" s="242" t="s">
        <v>1</v>
      </c>
      <c r="I117" s="230"/>
      <c r="J117" s="224"/>
      <c r="K117" s="272"/>
      <c r="M117" s="409"/>
      <c r="N117" s="409"/>
      <c r="O117" s="417"/>
      <c r="P117" s="417"/>
      <c r="Q117" s="781"/>
      <c r="R117" s="779" t="s">
        <v>633</v>
      </c>
      <c r="S117" s="779" t="s">
        <v>633</v>
      </c>
      <c r="T117" s="779" t="s">
        <v>633</v>
      </c>
    </row>
    <row r="118" spans="1:20" hidden="1" x14ac:dyDescent="0.35">
      <c r="A118" s="269"/>
      <c r="B118" s="221" t="str">
        <f>'Calc Sheet 23_24'!B1534</f>
        <v>9.1.3 Request for accuracy test of Bulk electricity meter - Testing of meter</v>
      </c>
      <c r="C118" s="222"/>
      <c r="D118" s="201">
        <f>'Calc Sheet 23_24'!H1551</f>
        <v>1170</v>
      </c>
      <c r="E118" s="522">
        <v>515</v>
      </c>
      <c r="F118" s="379">
        <f>'Calc Sheet 23_24'!H1551</f>
        <v>1170</v>
      </c>
      <c r="G118" s="379">
        <f>'Calc Sheet 23_24'!I1551</f>
        <v>1350</v>
      </c>
      <c r="H118" s="228">
        <f>(G118-F118)/F118</f>
        <v>0.15384615384615385</v>
      </c>
      <c r="I118" s="229">
        <f>G118*I$3</f>
        <v>202.5</v>
      </c>
      <c r="J118" s="562">
        <f>G118+I118</f>
        <v>1552.5</v>
      </c>
      <c r="K118" s="271">
        <v>9100033030416</v>
      </c>
      <c r="M118" s="417">
        <f>J118+L118</f>
        <v>1552.5</v>
      </c>
      <c r="N118" s="417">
        <f>+$M118*(1+'Unit tariffs'!$F$2)</f>
        <v>1640.9924999999998</v>
      </c>
      <c r="O118" s="417">
        <f>+$N118*(1+'Unit tariffs'!$F$2)</f>
        <v>1734.5290724999998</v>
      </c>
      <c r="P118" s="417">
        <f>+$O118*(1+'Unit tariffs'!$F$2)</f>
        <v>1833.3972296324996</v>
      </c>
      <c r="Q118" s="781">
        <f>+$P118*(1+'Unit tariffs'!$F$2)</f>
        <v>1937.900871721552</v>
      </c>
      <c r="R118" s="779" t="s">
        <v>633</v>
      </c>
      <c r="S118" s="779" t="s">
        <v>633</v>
      </c>
      <c r="T118" s="779" t="s">
        <v>633</v>
      </c>
    </row>
    <row r="119" spans="1:20" hidden="1" x14ac:dyDescent="0.35">
      <c r="A119" s="269"/>
      <c r="B119" s="221" t="str">
        <f>'Calc Sheet 23_24'!B1536</f>
        <v xml:space="preserve">      Meter to be removed under item 9.1.1</v>
      </c>
      <c r="C119" s="222"/>
      <c r="D119" s="201"/>
      <c r="E119" s="521"/>
      <c r="F119" s="379"/>
      <c r="G119" s="379"/>
      <c r="H119" s="242"/>
      <c r="I119" s="230"/>
      <c r="J119" s="224"/>
      <c r="K119" s="272"/>
      <c r="M119" s="409"/>
      <c r="N119" s="409"/>
      <c r="O119" s="417"/>
      <c r="P119" s="417"/>
      <c r="Q119" s="781"/>
      <c r="R119" s="779" t="s">
        <v>633</v>
      </c>
      <c r="S119" s="779" t="s">
        <v>633</v>
      </c>
      <c r="T119" s="779" t="s">
        <v>633</v>
      </c>
    </row>
    <row r="120" spans="1:20" ht="33" hidden="1" customHeight="1" x14ac:dyDescent="0.35">
      <c r="A120" s="269"/>
      <c r="B120" s="221" t="str">
        <f>'Calc Sheet 23_24'!B1558</f>
        <v>MATERIAL (None)</v>
      </c>
      <c r="C120" s="222"/>
      <c r="D120" s="201">
        <f>'Calc Sheet 23_24'!H1574</f>
        <v>14740</v>
      </c>
      <c r="E120" s="521">
        <v>5855</v>
      </c>
      <c r="F120" s="379">
        <f>'Calc Sheet 23_24'!H1574</f>
        <v>14740</v>
      </c>
      <c r="G120" s="379">
        <f>'Calc Sheet 23_24'!I1574</f>
        <v>16380</v>
      </c>
      <c r="H120" s="228">
        <f t="shared" ref="H120:H128" si="11">(G120-F120)/F120</f>
        <v>0.1112618724559023</v>
      </c>
      <c r="I120" s="229">
        <f>G120*I$3</f>
        <v>2457</v>
      </c>
      <c r="J120" s="562">
        <f>G120+I120</f>
        <v>18837</v>
      </c>
      <c r="K120" s="271">
        <v>9100033030416</v>
      </c>
      <c r="M120" s="417">
        <f>J120+L120</f>
        <v>18837</v>
      </c>
      <c r="N120" s="417">
        <f>+$M120*(1+'Unit tariffs'!$F$2)</f>
        <v>19910.708999999999</v>
      </c>
      <c r="O120" s="417">
        <f>+$N120*(1+'Unit tariffs'!$F$2)</f>
        <v>21045.619412999997</v>
      </c>
      <c r="P120" s="417">
        <f>+$O120*(1+'Unit tariffs'!$F$2)</f>
        <v>22245.219719540994</v>
      </c>
      <c r="Q120" s="781">
        <f>+$P120*(1+'Unit tariffs'!$F$2)</f>
        <v>23513.19724355483</v>
      </c>
      <c r="R120" s="779" t="s">
        <v>633</v>
      </c>
      <c r="S120" s="779" t="s">
        <v>633</v>
      </c>
      <c r="T120" s="779" t="s">
        <v>633</v>
      </c>
    </row>
    <row r="121" spans="1:20" ht="29.25" hidden="1" customHeight="1" x14ac:dyDescent="0.35">
      <c r="A121" s="269"/>
      <c r="B121" s="514" t="s">
        <v>398</v>
      </c>
      <c r="C121" s="253"/>
      <c r="D121" s="201">
        <v>4943.7299999999996</v>
      </c>
      <c r="E121" s="521"/>
      <c r="F121" s="379">
        <f>+'Calc Sheet 23_24'!H1591</f>
        <v>6200</v>
      </c>
      <c r="G121" s="379">
        <f>+'Calc Sheet 23_24'!I1591</f>
        <v>6200</v>
      </c>
      <c r="H121" s="228">
        <f t="shared" si="11"/>
        <v>0</v>
      </c>
      <c r="I121" s="229">
        <f t="shared" ref="I121:I125" si="12">G121*I$3</f>
        <v>930</v>
      </c>
      <c r="J121" s="562">
        <f t="shared" ref="J121:J125" si="13">G121+I121</f>
        <v>7130</v>
      </c>
      <c r="K121" s="271">
        <v>9100033030417</v>
      </c>
      <c r="M121" s="417">
        <f t="shared" ref="M121:M125" si="14">J121+L121</f>
        <v>7130</v>
      </c>
      <c r="N121" s="417">
        <f>+$M121*(1+'Unit tariffs'!$F$2)</f>
        <v>7536.41</v>
      </c>
      <c r="O121" s="417">
        <f>+$N121*(1+'Unit tariffs'!$F$2)</f>
        <v>7965.9853699999994</v>
      </c>
      <c r="P121" s="417">
        <f>+$O121*(1+'Unit tariffs'!$F$2)</f>
        <v>8420.0465360899998</v>
      </c>
      <c r="Q121" s="781">
        <f>+$P121*(1+'Unit tariffs'!$F$2)</f>
        <v>8899.9891886471287</v>
      </c>
      <c r="R121" s="779" t="s">
        <v>633</v>
      </c>
      <c r="S121" s="779" t="s">
        <v>633</v>
      </c>
      <c r="T121" s="779" t="s">
        <v>633</v>
      </c>
    </row>
    <row r="122" spans="1:20" ht="33" hidden="1" customHeight="1" x14ac:dyDescent="0.35">
      <c r="A122" s="269"/>
      <c r="B122" s="514" t="s">
        <v>397</v>
      </c>
      <c r="C122" s="222"/>
      <c r="D122" s="201">
        <v>0</v>
      </c>
      <c r="E122" s="521"/>
      <c r="F122" s="379">
        <f>+'Calc Sheet 23_24'!H1607</f>
        <v>9200</v>
      </c>
      <c r="G122" s="379">
        <f>+'Calc Sheet 23_24'!I1607</f>
        <v>9200</v>
      </c>
      <c r="H122" s="228">
        <f t="shared" si="11"/>
        <v>0</v>
      </c>
      <c r="I122" s="229">
        <f t="shared" si="12"/>
        <v>1380</v>
      </c>
      <c r="J122" s="562">
        <f t="shared" si="13"/>
        <v>10580</v>
      </c>
      <c r="K122" s="271">
        <v>9100033030418</v>
      </c>
      <c r="M122" s="417">
        <f t="shared" si="14"/>
        <v>10580</v>
      </c>
      <c r="N122" s="417">
        <f>+$M122*(1+'Unit tariffs'!$F$2)</f>
        <v>11183.06</v>
      </c>
      <c r="O122" s="417">
        <f>+$N122*(1+'Unit tariffs'!$F$2)</f>
        <v>11820.494419999999</v>
      </c>
      <c r="P122" s="417">
        <f>+$O122*(1+'Unit tariffs'!$F$2)</f>
        <v>12494.262601939998</v>
      </c>
      <c r="Q122" s="781">
        <f>+$P122*(1+'Unit tariffs'!$F$2)</f>
        <v>13206.435570250576</v>
      </c>
      <c r="R122" s="779" t="s">
        <v>633</v>
      </c>
      <c r="S122" s="779" t="s">
        <v>633</v>
      </c>
      <c r="T122" s="779" t="s">
        <v>633</v>
      </c>
    </row>
    <row r="123" spans="1:20" ht="38.5" hidden="1" x14ac:dyDescent="0.35">
      <c r="A123" s="269"/>
      <c r="B123" s="221" t="str">
        <f>'Calc Sheet 23_24'!B1614</f>
        <v xml:space="preserve">9.7 Reinstatement of supply following disconnection of Std 3 phase service -  Where meter was damaged or persistant tampering occurred (RMD 3 Ph) - Replaced with 100A Time of Use meter (TOU) </v>
      </c>
      <c r="C123" s="222"/>
      <c r="D123" s="201">
        <f>'Calc Sheet 23_24'!H1638</f>
        <v>12560</v>
      </c>
      <c r="E123" s="521">
        <v>10470</v>
      </c>
      <c r="F123" s="379">
        <f>'Calc Sheet 23_24'!H1638</f>
        <v>12560</v>
      </c>
      <c r="G123" s="379">
        <f>'Calc Sheet 23_24'!I1638</f>
        <v>7260</v>
      </c>
      <c r="H123" s="228">
        <f t="shared" si="11"/>
        <v>-0.42197452229299365</v>
      </c>
      <c r="I123" s="229">
        <f t="shared" si="12"/>
        <v>1089</v>
      </c>
      <c r="J123" s="562">
        <f t="shared" si="13"/>
        <v>8349</v>
      </c>
      <c r="K123" s="271">
        <v>9100033030419</v>
      </c>
      <c r="M123" s="417">
        <f t="shared" si="14"/>
        <v>8349</v>
      </c>
      <c r="N123" s="417">
        <f>+$M123*(1+'Unit tariffs'!$F$2)</f>
        <v>8824.893</v>
      </c>
      <c r="O123" s="417">
        <f>+$N123*(1+'Unit tariffs'!$F$2)</f>
        <v>9327.9119009999995</v>
      </c>
      <c r="P123" s="417">
        <f>+$O123*(1+'Unit tariffs'!$F$2)</f>
        <v>9859.6028793569985</v>
      </c>
      <c r="Q123" s="781">
        <f>+$P123*(1+'Unit tariffs'!$F$2)</f>
        <v>10421.600243480347</v>
      </c>
      <c r="R123" s="779" t="s">
        <v>633</v>
      </c>
      <c r="S123" s="779" t="s">
        <v>633</v>
      </c>
      <c r="T123" s="779" t="s">
        <v>633</v>
      </c>
    </row>
    <row r="124" spans="1:20" ht="29.25" hidden="1" customHeight="1" x14ac:dyDescent="0.35">
      <c r="A124" s="269"/>
      <c r="B124" s="514" t="s">
        <v>399</v>
      </c>
      <c r="C124" s="222"/>
      <c r="D124" s="201">
        <v>0</v>
      </c>
      <c r="E124" s="521"/>
      <c r="F124" s="379">
        <f>+'Calc Sheet 23_24'!H1655</f>
        <v>15400</v>
      </c>
      <c r="G124" s="379">
        <f>+'Calc Sheet 23_24'!I1655</f>
        <v>15400</v>
      </c>
      <c r="H124" s="228">
        <f t="shared" si="11"/>
        <v>0</v>
      </c>
      <c r="I124" s="229">
        <f t="shared" si="12"/>
        <v>2310</v>
      </c>
      <c r="J124" s="562">
        <f t="shared" si="13"/>
        <v>17710</v>
      </c>
      <c r="K124" s="271">
        <v>9100033030420</v>
      </c>
      <c r="M124" s="417">
        <f t="shared" si="14"/>
        <v>17710</v>
      </c>
      <c r="N124" s="417">
        <f>+$M124*(1+'Unit tariffs'!$F$2)</f>
        <v>18719.469999999998</v>
      </c>
      <c r="O124" s="417">
        <f>+$N124*(1+'Unit tariffs'!$F$2)</f>
        <v>19786.479789999998</v>
      </c>
      <c r="P124" s="417">
        <f>+$O124*(1+'Unit tariffs'!$F$2)</f>
        <v>20914.309138029996</v>
      </c>
      <c r="Q124" s="781">
        <f>+$P124*(1+'Unit tariffs'!$F$2)</f>
        <v>22106.424758897705</v>
      </c>
      <c r="R124" s="779" t="s">
        <v>633</v>
      </c>
      <c r="S124" s="779" t="s">
        <v>633</v>
      </c>
      <c r="T124" s="779" t="s">
        <v>633</v>
      </c>
    </row>
    <row r="125" spans="1:20" ht="33" hidden="1" customHeight="1" x14ac:dyDescent="0.35">
      <c r="A125" s="269"/>
      <c r="B125" s="514" t="s">
        <v>400</v>
      </c>
      <c r="C125" s="222"/>
      <c r="D125" s="201">
        <v>0</v>
      </c>
      <c r="E125" s="521"/>
      <c r="F125" s="379">
        <f>+'Calc Sheet 23_24'!H1673</f>
        <v>30800</v>
      </c>
      <c r="G125" s="379">
        <f>+'Calc Sheet 23_24'!I1673</f>
        <v>30800</v>
      </c>
      <c r="H125" s="228">
        <f t="shared" si="11"/>
        <v>0</v>
      </c>
      <c r="I125" s="229">
        <f t="shared" si="12"/>
        <v>4620</v>
      </c>
      <c r="J125" s="562">
        <f t="shared" si="13"/>
        <v>35420</v>
      </c>
      <c r="K125" s="271">
        <v>9100033030421</v>
      </c>
      <c r="M125" s="417">
        <f t="shared" si="14"/>
        <v>35420</v>
      </c>
      <c r="N125" s="417">
        <f>+$M125*(1+'Unit tariffs'!$F$2)</f>
        <v>37438.939999999995</v>
      </c>
      <c r="O125" s="417">
        <f>+$N125*(1+'Unit tariffs'!$F$2)</f>
        <v>39572.959579999995</v>
      </c>
      <c r="P125" s="417">
        <f>+$O125*(1+'Unit tariffs'!$F$2)</f>
        <v>41828.618276059991</v>
      </c>
      <c r="Q125" s="781">
        <f>+$P125*(1+'Unit tariffs'!$F$2)</f>
        <v>44212.84951779541</v>
      </c>
      <c r="R125" s="779" t="s">
        <v>633</v>
      </c>
      <c r="S125" s="779" t="s">
        <v>633</v>
      </c>
      <c r="T125" s="779" t="s">
        <v>633</v>
      </c>
    </row>
    <row r="126" spans="1:20" ht="30.75" hidden="1" customHeight="1" x14ac:dyDescent="0.35">
      <c r="A126" s="269"/>
      <c r="B126" s="221" t="str">
        <f>'Calc Sheet 23_24'!B1708</f>
        <v>9.9 Reinstatement of supply following disconnection of service by CENTLEC - 1Phase pre-payment meter damaged or persistent tampering (PPD)</v>
      </c>
      <c r="C126" s="222"/>
      <c r="D126" s="201">
        <f>+'Calc Sheet 23_24'!H1731</f>
        <v>7830</v>
      </c>
      <c r="E126" s="521">
        <v>5990</v>
      </c>
      <c r="F126" s="379">
        <f>+'Calc Sheet 23_24'!H1731</f>
        <v>7830</v>
      </c>
      <c r="G126" s="379">
        <f>+'Calc Sheet 23_24'!I1731</f>
        <v>7340</v>
      </c>
      <c r="H126" s="228">
        <f t="shared" si="11"/>
        <v>-6.2579821200510852E-2</v>
      </c>
      <c r="I126" s="229">
        <f>G126*I$3</f>
        <v>1101</v>
      </c>
      <c r="J126" s="562">
        <f>G126+I126</f>
        <v>8441</v>
      </c>
      <c r="K126" s="271">
        <v>9100033030416</v>
      </c>
      <c r="M126" s="417">
        <f>J126+L126</f>
        <v>8441</v>
      </c>
      <c r="N126" s="417">
        <f>+$M126*(1+'Unit tariffs'!$F$2)</f>
        <v>8922.1369999999988</v>
      </c>
      <c r="O126" s="417">
        <f>+$N126*(1+'Unit tariffs'!$F$2)</f>
        <v>9430.6988089999977</v>
      </c>
      <c r="P126" s="417">
        <f>+$O126*(1+'Unit tariffs'!$F$2)</f>
        <v>9968.2486411129976</v>
      </c>
      <c r="Q126" s="781">
        <f>+$P126*(1+'Unit tariffs'!$F$2)</f>
        <v>10536.438813656438</v>
      </c>
      <c r="R126" s="779" t="s">
        <v>633</v>
      </c>
      <c r="S126" s="779" t="s">
        <v>633</v>
      </c>
      <c r="T126" s="779" t="s">
        <v>633</v>
      </c>
    </row>
    <row r="127" spans="1:20" ht="29.25" hidden="1" customHeight="1" x14ac:dyDescent="0.35">
      <c r="A127" s="269"/>
      <c r="B127" s="514" t="s">
        <v>401</v>
      </c>
      <c r="C127" s="222"/>
      <c r="D127" s="201">
        <v>4943.7299999999996</v>
      </c>
      <c r="E127" s="521"/>
      <c r="F127" s="379">
        <f>+'Calc Sheet 23_24'!H1749</f>
        <v>6200</v>
      </c>
      <c r="G127" s="379">
        <f>+'Calc Sheet 23_24'!I1749</f>
        <v>6200</v>
      </c>
      <c r="H127" s="228">
        <f t="shared" si="11"/>
        <v>0</v>
      </c>
      <c r="I127" s="229">
        <f t="shared" ref="I127:I128" si="15">G127*I$3</f>
        <v>930</v>
      </c>
      <c r="J127" s="562">
        <f t="shared" ref="J127:J128" si="16">G127+I127</f>
        <v>7130</v>
      </c>
      <c r="K127" s="271">
        <v>9100033030417</v>
      </c>
      <c r="M127" s="417">
        <f t="shared" ref="M127:M128" si="17">J127+L127</f>
        <v>7130</v>
      </c>
      <c r="N127" s="417">
        <f>+$M127*(1+'Unit tariffs'!$F$2)</f>
        <v>7536.41</v>
      </c>
      <c r="O127" s="417">
        <f>+$N127*(1+'Unit tariffs'!$F$2)</f>
        <v>7965.9853699999994</v>
      </c>
      <c r="P127" s="417">
        <f>+$O127*(1+'Unit tariffs'!$F$2)</f>
        <v>8420.0465360899998</v>
      </c>
      <c r="Q127" s="781">
        <f>+$P127*(1+'Unit tariffs'!$F$2)</f>
        <v>8899.9891886471287</v>
      </c>
      <c r="R127" s="779" t="s">
        <v>633</v>
      </c>
      <c r="S127" s="779" t="s">
        <v>633</v>
      </c>
      <c r="T127" s="779" t="s">
        <v>633</v>
      </c>
    </row>
    <row r="128" spans="1:20" ht="33" hidden="1" customHeight="1" x14ac:dyDescent="0.35">
      <c r="A128" s="269"/>
      <c r="B128" s="514" t="s">
        <v>402</v>
      </c>
      <c r="C128" s="222"/>
      <c r="D128" s="201">
        <v>0</v>
      </c>
      <c r="E128" s="521"/>
      <c r="F128" s="379">
        <f>+'Calc Sheet 23_24'!H1766</f>
        <v>9200</v>
      </c>
      <c r="G128" s="379">
        <f>+'Calc Sheet 23_24'!I1766</f>
        <v>9200</v>
      </c>
      <c r="H128" s="228">
        <f t="shared" si="11"/>
        <v>0</v>
      </c>
      <c r="I128" s="229">
        <f t="shared" si="15"/>
        <v>1380</v>
      </c>
      <c r="J128" s="562">
        <f t="shared" si="16"/>
        <v>10580</v>
      </c>
      <c r="K128" s="271">
        <v>9100033030418</v>
      </c>
      <c r="M128" s="417">
        <f t="shared" si="17"/>
        <v>10580</v>
      </c>
      <c r="N128" s="417">
        <f>+$M128*(1+'Unit tariffs'!$F$2)</f>
        <v>11183.06</v>
      </c>
      <c r="O128" s="417">
        <f>+$N128*(1+'Unit tariffs'!$F$2)</f>
        <v>11820.494419999999</v>
      </c>
      <c r="P128" s="417">
        <f>+$O128*(1+'Unit tariffs'!$F$2)</f>
        <v>12494.262601939998</v>
      </c>
      <c r="Q128" s="781">
        <f>+$P128*(1+'Unit tariffs'!$F$2)</f>
        <v>13206.435570250576</v>
      </c>
      <c r="R128" s="779" t="s">
        <v>633</v>
      </c>
      <c r="S128" s="779" t="s">
        <v>633</v>
      </c>
      <c r="T128" s="779" t="s">
        <v>633</v>
      </c>
    </row>
    <row r="129" spans="1:20" ht="14" customHeight="1" thickBot="1" x14ac:dyDescent="0.4">
      <c r="A129" s="364"/>
      <c r="B129" s="278"/>
      <c r="C129" s="279"/>
      <c r="D129" s="360"/>
      <c r="E129" s="536"/>
      <c r="F129" s="621"/>
      <c r="G129" s="386"/>
      <c r="H129" s="361"/>
      <c r="I129" s="362"/>
      <c r="J129" s="568"/>
      <c r="K129" s="363"/>
      <c r="M129" s="427"/>
      <c r="N129" s="427"/>
      <c r="O129" s="427"/>
      <c r="P129" s="427"/>
      <c r="Q129" s="790"/>
      <c r="R129" s="779"/>
      <c r="S129" s="779"/>
      <c r="T129" s="779"/>
    </row>
    <row r="130" spans="1:20" ht="15.5" x14ac:dyDescent="0.35">
      <c r="A130" s="261"/>
      <c r="B130" s="262" t="str">
        <f>B1</f>
        <v>CENTLEC : ELECTRICITY SERVICES COSTS FOR KOPANONG MUNIC</v>
      </c>
      <c r="C130" s="374"/>
      <c r="D130" s="368" t="s">
        <v>74</v>
      </c>
      <c r="E130" s="529"/>
      <c r="F130" s="613" t="s">
        <v>74</v>
      </c>
      <c r="G130" s="370" t="s">
        <v>74</v>
      </c>
      <c r="H130" s="369" t="s">
        <v>85</v>
      </c>
      <c r="I130" s="52" t="s">
        <v>441</v>
      </c>
      <c r="J130" s="370" t="s">
        <v>138</v>
      </c>
      <c r="K130" s="371" t="s">
        <v>75</v>
      </c>
      <c r="M130" s="670" t="s">
        <v>138</v>
      </c>
      <c r="N130" s="670" t="s">
        <v>138</v>
      </c>
      <c r="O130" s="670" t="s">
        <v>138</v>
      </c>
      <c r="P130" s="670" t="s">
        <v>138</v>
      </c>
      <c r="Q130" s="785" t="s">
        <v>138</v>
      </c>
      <c r="R130" s="779"/>
      <c r="S130" s="779"/>
      <c r="T130" s="779"/>
    </row>
    <row r="131" spans="1:20" x14ac:dyDescent="0.35">
      <c r="A131" s="269"/>
      <c r="B131" s="227"/>
      <c r="C131" s="226"/>
      <c r="D131" s="328" t="s">
        <v>77</v>
      </c>
      <c r="E131" s="516"/>
      <c r="F131" s="602" t="s">
        <v>77</v>
      </c>
      <c r="G131" s="224" t="s">
        <v>77</v>
      </c>
      <c r="H131" s="327" t="s">
        <v>86</v>
      </c>
      <c r="I131" s="643">
        <f>+'Unit tariffs'!F$3</f>
        <v>0.15</v>
      </c>
      <c r="J131" s="224" t="s">
        <v>139</v>
      </c>
      <c r="K131" s="325" t="s">
        <v>78</v>
      </c>
      <c r="M131" s="667" t="s">
        <v>139</v>
      </c>
      <c r="N131" s="667" t="s">
        <v>139</v>
      </c>
      <c r="O131" s="667" t="s">
        <v>139</v>
      </c>
      <c r="P131" s="667" t="s">
        <v>139</v>
      </c>
      <c r="Q131" s="775" t="s">
        <v>139</v>
      </c>
      <c r="R131" s="779"/>
      <c r="S131" s="779"/>
      <c r="T131" s="779"/>
    </row>
    <row r="132" spans="1:20" x14ac:dyDescent="0.35">
      <c r="A132" s="269"/>
      <c r="B132" s="227"/>
      <c r="C132" s="226"/>
      <c r="D132" s="328" t="str">
        <f>D$4</f>
        <v>2016/2017</v>
      </c>
      <c r="E132" s="516"/>
      <c r="F132" s="665" t="str">
        <f>'Calc Sheet 23_24'!$H$11</f>
        <v>2025/2026</v>
      </c>
      <c r="G132" s="224" t="str">
        <f>'Calc Sheet 23_24'!$I$11</f>
        <v>2026/2027</v>
      </c>
      <c r="H132" s="327" t="str">
        <f>G132</f>
        <v>2026/2027</v>
      </c>
      <c r="I132" s="52" t="str">
        <f>G132</f>
        <v>2026/2027</v>
      </c>
      <c r="J132" s="224" t="str">
        <f>I132</f>
        <v>2026/2027</v>
      </c>
      <c r="K132" s="325" t="s">
        <v>79</v>
      </c>
      <c r="M132" s="667" t="s">
        <v>451</v>
      </c>
      <c r="N132" s="667" t="s">
        <v>578</v>
      </c>
      <c r="O132" s="667" t="s">
        <v>579</v>
      </c>
      <c r="P132" s="667" t="s">
        <v>580</v>
      </c>
      <c r="Q132" s="775" t="s">
        <v>620</v>
      </c>
      <c r="R132" s="779"/>
      <c r="S132" s="779"/>
      <c r="T132" s="779"/>
    </row>
    <row r="133" spans="1:20" ht="16" thickBot="1" x14ac:dyDescent="0.4">
      <c r="A133" s="293"/>
      <c r="B133" s="337" t="s">
        <v>105</v>
      </c>
      <c r="C133" s="295"/>
      <c r="D133" s="331" t="s">
        <v>80</v>
      </c>
      <c r="E133" s="517"/>
      <c r="F133" s="603" t="s">
        <v>80</v>
      </c>
      <c r="G133" s="334" t="s">
        <v>80</v>
      </c>
      <c r="H133" s="332"/>
      <c r="I133" s="333"/>
      <c r="J133" s="334"/>
      <c r="K133" s="335"/>
      <c r="M133" s="411"/>
      <c r="N133" s="411"/>
      <c r="O133" s="411"/>
      <c r="P133" s="411"/>
      <c r="Q133" s="776"/>
      <c r="R133" s="779"/>
      <c r="S133" s="779"/>
      <c r="T133" s="779"/>
    </row>
    <row r="134" spans="1:20" ht="26.5" hidden="1" thickTop="1" x14ac:dyDescent="0.35">
      <c r="A134" s="269"/>
      <c r="B134" s="514" t="s">
        <v>366</v>
      </c>
      <c r="C134" s="222"/>
      <c r="D134" s="201">
        <f>+'Calc Sheet 23_24'!H1796</f>
        <v>14610</v>
      </c>
      <c r="E134" s="521">
        <v>11360</v>
      </c>
      <c r="F134" s="379">
        <f>+'Calc Sheet 23_24'!H1796</f>
        <v>14610</v>
      </c>
      <c r="G134" s="379">
        <f>+'Calc Sheet 23_24'!I1796</f>
        <v>5680</v>
      </c>
      <c r="H134" s="228">
        <f t="shared" ref="H134:H147" si="18">IF( G134&lt;0.01,"0",(G134-D134)/D134)</f>
        <v>-0.61122518822724159</v>
      </c>
      <c r="I134" s="229">
        <f>G134*I$3</f>
        <v>852</v>
      </c>
      <c r="J134" s="562">
        <f t="shared" ref="J134:J149" si="19">G134+I134</f>
        <v>6532</v>
      </c>
      <c r="K134" s="271">
        <v>9100033030416</v>
      </c>
      <c r="M134" s="417">
        <f t="shared" ref="M134:M149" si="20">J134+L134</f>
        <v>6532</v>
      </c>
      <c r="N134" s="417">
        <f>+$M134*(1+'Unit tariffs'!$F$2)</f>
        <v>6904.3239999999996</v>
      </c>
      <c r="O134" s="417">
        <f>+$N134*(1+'Unit tariffs'!$F$2)</f>
        <v>7297.8704679999992</v>
      </c>
      <c r="P134" s="417">
        <f>+$O134*(1+'Unit tariffs'!$F$2)</f>
        <v>7713.8490846759987</v>
      </c>
      <c r="Q134" s="781">
        <f>+$P134*(1+'Unit tariffs'!$F$2)</f>
        <v>8153.5384825025303</v>
      </c>
      <c r="R134" s="779"/>
      <c r="S134" s="779"/>
      <c r="T134" s="779"/>
    </row>
    <row r="135" spans="1:20" ht="29.25" hidden="1" customHeight="1" x14ac:dyDescent="0.35">
      <c r="A135" s="269"/>
      <c r="B135" s="514" t="s">
        <v>410</v>
      </c>
      <c r="C135" s="222"/>
      <c r="D135" s="201">
        <v>0</v>
      </c>
      <c r="E135" s="521"/>
      <c r="F135" s="379">
        <f>+'Calc Sheet 23_24'!H1813</f>
        <v>15400</v>
      </c>
      <c r="G135" s="379">
        <f>+'Calc Sheet 23_24'!I1813</f>
        <v>15400</v>
      </c>
      <c r="H135" s="244">
        <f t="shared" ref="H135:H146" si="21">(G135-F135)/F135</f>
        <v>0</v>
      </c>
      <c r="I135" s="229">
        <f t="shared" ref="I135:I136" si="22">G135*I$3</f>
        <v>2310</v>
      </c>
      <c r="J135" s="562">
        <f t="shared" ref="J135:J136" si="23">G135+I135</f>
        <v>17710</v>
      </c>
      <c r="K135" s="271">
        <v>9100033030416</v>
      </c>
      <c r="M135" s="417">
        <f t="shared" si="20"/>
        <v>17710</v>
      </c>
      <c r="N135" s="417">
        <f>+$M135*(1+'Unit tariffs'!$F$2)</f>
        <v>18719.469999999998</v>
      </c>
      <c r="O135" s="417">
        <f>+$N135*(1+'Unit tariffs'!$F$2)</f>
        <v>19786.479789999998</v>
      </c>
      <c r="P135" s="417">
        <f>+$O135*(1+'Unit tariffs'!$F$2)</f>
        <v>20914.309138029996</v>
      </c>
      <c r="Q135" s="781">
        <f>+$P135*(1+'Unit tariffs'!$F$2)</f>
        <v>22106.424758897705</v>
      </c>
      <c r="R135" s="779"/>
      <c r="S135" s="779"/>
      <c r="T135" s="779"/>
    </row>
    <row r="136" spans="1:20" ht="33" hidden="1" customHeight="1" x14ac:dyDescent="0.35">
      <c r="A136" s="269"/>
      <c r="B136" s="514" t="s">
        <v>411</v>
      </c>
      <c r="C136" s="222"/>
      <c r="D136" s="201">
        <v>0</v>
      </c>
      <c r="E136" s="521"/>
      <c r="F136" s="379">
        <f>+'Calc Sheet 23_24'!H1830</f>
        <v>30800</v>
      </c>
      <c r="G136" s="379">
        <f>+'Calc Sheet 23_24'!I1830</f>
        <v>30800</v>
      </c>
      <c r="H136" s="228">
        <f t="shared" si="21"/>
        <v>0</v>
      </c>
      <c r="I136" s="229">
        <f t="shared" si="22"/>
        <v>4620</v>
      </c>
      <c r="J136" s="562">
        <f t="shared" si="23"/>
        <v>35420</v>
      </c>
      <c r="K136" s="271">
        <v>9100033030416</v>
      </c>
      <c r="M136" s="417">
        <f t="shared" si="20"/>
        <v>35420</v>
      </c>
      <c r="N136" s="417">
        <f>+$M136*(1+'Unit tariffs'!$F$2)</f>
        <v>37438.939999999995</v>
      </c>
      <c r="O136" s="417">
        <f>+$N136*(1+'Unit tariffs'!$F$2)</f>
        <v>39572.959579999995</v>
      </c>
      <c r="P136" s="417">
        <f>+$O136*(1+'Unit tariffs'!$F$2)</f>
        <v>41828.618276059991</v>
      </c>
      <c r="Q136" s="781">
        <f>+$P136*(1+'Unit tariffs'!$F$2)</f>
        <v>44212.84951779541</v>
      </c>
      <c r="R136" s="779"/>
      <c r="S136" s="779"/>
      <c r="T136" s="779"/>
    </row>
    <row r="137" spans="1:20" ht="18.75" hidden="1" customHeight="1" x14ac:dyDescent="0.35">
      <c r="A137" s="269"/>
      <c r="B137" s="514" t="s">
        <v>430</v>
      </c>
      <c r="C137" s="222"/>
      <c r="D137" s="201">
        <f>+'Calc Sheet 23_24'!H1858</f>
        <v>984</v>
      </c>
      <c r="E137" s="522">
        <v>240</v>
      </c>
      <c r="F137" s="379">
        <f>+'Calc Sheet 23_24'!H1858</f>
        <v>984</v>
      </c>
      <c r="G137" s="379">
        <f>+'Calc Sheet 23_24'!I1858</f>
        <v>1140</v>
      </c>
      <c r="H137" s="228">
        <f t="shared" si="21"/>
        <v>0.15853658536585366</v>
      </c>
      <c r="I137" s="229">
        <f t="shared" ref="I137:I150" si="24">G137*I$3</f>
        <v>171</v>
      </c>
      <c r="J137" s="562">
        <f t="shared" si="19"/>
        <v>1311</v>
      </c>
      <c r="K137" s="271">
        <v>9100033030416</v>
      </c>
      <c r="M137" s="417">
        <f t="shared" si="20"/>
        <v>1311</v>
      </c>
      <c r="N137" s="417">
        <f>+$M137*(1+'Unit tariffs'!$F$2)</f>
        <v>1385.7269999999999</v>
      </c>
      <c r="O137" s="417">
        <f>+$N137*(1+'Unit tariffs'!$F$2)</f>
        <v>1464.7134389999999</v>
      </c>
      <c r="P137" s="417">
        <f>+$O137*(1+'Unit tariffs'!$F$2)</f>
        <v>1548.2021050229998</v>
      </c>
      <c r="Q137" s="781">
        <f>+$P137*(1+'Unit tariffs'!$F$2)</f>
        <v>1636.4496250093107</v>
      </c>
      <c r="R137" s="779"/>
      <c r="S137" s="779"/>
      <c r="T137" s="779"/>
    </row>
    <row r="138" spans="1:20" ht="26" hidden="1" x14ac:dyDescent="0.35">
      <c r="A138" s="269"/>
      <c r="B138" s="221" t="str">
        <f>+'Calc Sheet 23_24'!B1865:G1865</f>
        <v>9.12 Reinstatement of supply by CENTLEC - Where supplied from overhead transmission systems or a substation</v>
      </c>
      <c r="C138" s="222"/>
      <c r="D138" s="201">
        <f>+'Calc Sheet 23_24'!H1887</f>
        <v>1830</v>
      </c>
      <c r="E138" s="521">
        <v>1330</v>
      </c>
      <c r="F138" s="379">
        <f>+'Calc Sheet 23_24'!H1887</f>
        <v>1830</v>
      </c>
      <c r="G138" s="379">
        <f>+'Calc Sheet 23_24'!I1887</f>
        <v>2110</v>
      </c>
      <c r="H138" s="228">
        <f t="shared" si="21"/>
        <v>0.15300546448087432</v>
      </c>
      <c r="I138" s="229">
        <f t="shared" si="24"/>
        <v>316.5</v>
      </c>
      <c r="J138" s="562">
        <f t="shared" si="19"/>
        <v>2426.5</v>
      </c>
      <c r="K138" s="271">
        <v>9100033030416</v>
      </c>
      <c r="M138" s="417">
        <f t="shared" si="20"/>
        <v>2426.5</v>
      </c>
      <c r="N138" s="417">
        <f>+$M138*(1+'Unit tariffs'!$F$2)</f>
        <v>2564.8105</v>
      </c>
      <c r="O138" s="417">
        <f>+$N138*(1+'Unit tariffs'!$F$2)</f>
        <v>2711.0046984999999</v>
      </c>
      <c r="P138" s="417">
        <f>+$O138*(1+'Unit tariffs'!$F$2)</f>
        <v>2865.5319663144996</v>
      </c>
      <c r="Q138" s="781">
        <f>+$P138*(1+'Unit tariffs'!$F$2)</f>
        <v>3028.8672883944259</v>
      </c>
      <c r="R138" s="779"/>
      <c r="S138" s="779"/>
      <c r="T138" s="779"/>
    </row>
    <row r="139" spans="1:20" ht="26" hidden="1" x14ac:dyDescent="0.35">
      <c r="A139" s="269"/>
      <c r="B139" s="514" t="s">
        <v>367</v>
      </c>
      <c r="C139" s="222"/>
      <c r="D139" s="201">
        <f>+'Calc Sheet 23_24'!H1918</f>
        <v>2420</v>
      </c>
      <c r="E139" s="522">
        <v>1170</v>
      </c>
      <c r="F139" s="379">
        <f>+'Calc Sheet 23_24'!H1918</f>
        <v>2420</v>
      </c>
      <c r="G139" s="379">
        <f>+'Calc Sheet 23_24'!I1918</f>
        <v>2730</v>
      </c>
      <c r="H139" s="244">
        <f t="shared" si="21"/>
        <v>0.128099173553719</v>
      </c>
      <c r="I139" s="229">
        <f t="shared" si="24"/>
        <v>409.5</v>
      </c>
      <c r="J139" s="562">
        <f t="shared" si="19"/>
        <v>3139.5</v>
      </c>
      <c r="K139" s="271">
        <v>9100033030416</v>
      </c>
      <c r="M139" s="417">
        <f t="shared" si="20"/>
        <v>3139.5</v>
      </c>
      <c r="N139" s="417">
        <f>+$M139*(1+'Unit tariffs'!$F$2)</f>
        <v>3318.4514999999997</v>
      </c>
      <c r="O139" s="417">
        <f>+$N139*(1+'Unit tariffs'!$F$2)</f>
        <v>3507.6032354999993</v>
      </c>
      <c r="P139" s="417">
        <f>+$O139*(1+'Unit tariffs'!$F$2)</f>
        <v>3707.5366199234991</v>
      </c>
      <c r="Q139" s="781">
        <f>+$P139*(1+'Unit tariffs'!$F$2)</f>
        <v>3918.8662072591383</v>
      </c>
      <c r="R139" s="779"/>
      <c r="S139" s="779"/>
      <c r="T139" s="779"/>
    </row>
    <row r="140" spans="1:20" ht="26" hidden="1" x14ac:dyDescent="0.35">
      <c r="A140" s="269"/>
      <c r="B140" s="514" t="s">
        <v>368</v>
      </c>
      <c r="C140" s="222"/>
      <c r="D140" s="201">
        <f>+'Calc Sheet 23_24'!H1949</f>
        <v>2420</v>
      </c>
      <c r="E140" s="522">
        <v>1295</v>
      </c>
      <c r="F140" s="379">
        <f>+'Calc Sheet 23_24'!H1949</f>
        <v>2420</v>
      </c>
      <c r="G140" s="379">
        <f>+'Calc Sheet 23_24'!I1949</f>
        <v>2730</v>
      </c>
      <c r="H140" s="228">
        <f t="shared" si="21"/>
        <v>0.128099173553719</v>
      </c>
      <c r="I140" s="229">
        <f t="shared" si="24"/>
        <v>409.5</v>
      </c>
      <c r="J140" s="562">
        <f t="shared" si="19"/>
        <v>3139.5</v>
      </c>
      <c r="K140" s="271">
        <v>9100033030416</v>
      </c>
      <c r="M140" s="417">
        <f t="shared" si="20"/>
        <v>3139.5</v>
      </c>
      <c r="N140" s="417">
        <f>+$M140*(1+'Unit tariffs'!$F$2)</f>
        <v>3318.4514999999997</v>
      </c>
      <c r="O140" s="417">
        <f>+$N140*(1+'Unit tariffs'!$F$2)</f>
        <v>3507.6032354999993</v>
      </c>
      <c r="P140" s="417">
        <f>+$O140*(1+'Unit tariffs'!$F$2)</f>
        <v>3707.5366199234991</v>
      </c>
      <c r="Q140" s="781">
        <f>+$P140*(1+'Unit tariffs'!$F$2)</f>
        <v>3918.8662072591383</v>
      </c>
      <c r="R140" s="779"/>
      <c r="S140" s="779"/>
      <c r="T140" s="779"/>
    </row>
    <row r="141" spans="1:20" hidden="1" x14ac:dyDescent="0.35">
      <c r="A141" s="269"/>
      <c r="B141" s="221" t="s">
        <v>135</v>
      </c>
      <c r="C141" s="222"/>
      <c r="D141" s="201">
        <f>'Calc Sheet 23_24'!H1981</f>
        <v>4470</v>
      </c>
      <c r="E141" s="521">
        <v>3210</v>
      </c>
      <c r="F141" s="379">
        <f>'Calc Sheet 23_24'!H1981</f>
        <v>4470</v>
      </c>
      <c r="G141" s="379">
        <f>'Calc Sheet 23_24'!I1981</f>
        <v>3540</v>
      </c>
      <c r="H141" s="228">
        <f t="shared" si="21"/>
        <v>-0.20805369127516779</v>
      </c>
      <c r="I141" s="229">
        <f t="shared" si="24"/>
        <v>531</v>
      </c>
      <c r="J141" s="562">
        <f t="shared" si="19"/>
        <v>4071</v>
      </c>
      <c r="K141" s="271">
        <v>9100033030416</v>
      </c>
      <c r="M141" s="417">
        <f t="shared" si="20"/>
        <v>4071</v>
      </c>
      <c r="N141" s="417">
        <f>+$M141*(1+'Unit tariffs'!$F$2)</f>
        <v>4303.0469999999996</v>
      </c>
      <c r="O141" s="417">
        <f>+$N141*(1+'Unit tariffs'!$F$2)</f>
        <v>4548.3206789999995</v>
      </c>
      <c r="P141" s="417">
        <f>+$O141*(1+'Unit tariffs'!$F$2)</f>
        <v>4807.5749577029992</v>
      </c>
      <c r="Q141" s="781">
        <f>+$P141*(1+'Unit tariffs'!$F$2)</f>
        <v>5081.6067302920701</v>
      </c>
      <c r="R141" s="779"/>
      <c r="S141" s="779"/>
      <c r="T141" s="779"/>
    </row>
    <row r="142" spans="1:20" hidden="1" x14ac:dyDescent="0.35">
      <c r="A142" s="269"/>
      <c r="B142" s="221" t="s">
        <v>136</v>
      </c>
      <c r="C142" s="222"/>
      <c r="D142" s="201">
        <f>+'Calc Sheet 23_24'!H2013</f>
        <v>10520</v>
      </c>
      <c r="E142" s="521">
        <v>9025</v>
      </c>
      <c r="F142" s="379">
        <f>+'Calc Sheet 23_24'!H2013</f>
        <v>10520</v>
      </c>
      <c r="G142" s="379">
        <f>+'Calc Sheet 23_24'!I2013</f>
        <v>2760</v>
      </c>
      <c r="H142" s="228">
        <f t="shared" si="21"/>
        <v>-0.73764258555133078</v>
      </c>
      <c r="I142" s="229">
        <f t="shared" si="24"/>
        <v>414</v>
      </c>
      <c r="J142" s="562">
        <f t="shared" si="19"/>
        <v>3174</v>
      </c>
      <c r="K142" s="271">
        <v>9100033030416</v>
      </c>
      <c r="M142" s="417">
        <f t="shared" si="20"/>
        <v>3174</v>
      </c>
      <c r="N142" s="417">
        <f>+$M142*(1+'Unit tariffs'!$F$2)</f>
        <v>3354.9179999999997</v>
      </c>
      <c r="O142" s="417">
        <f>+$N142*(1+'Unit tariffs'!$F$2)</f>
        <v>3546.1483259999995</v>
      </c>
      <c r="P142" s="417">
        <f>+$O142*(1+'Unit tariffs'!$F$2)</f>
        <v>3748.2787805819994</v>
      </c>
      <c r="Q142" s="781">
        <f>+$P142*(1+'Unit tariffs'!$F$2)</f>
        <v>3961.930671075173</v>
      </c>
      <c r="R142" s="779"/>
      <c r="S142" s="779"/>
      <c r="T142" s="779"/>
    </row>
    <row r="143" spans="1:20" ht="26" hidden="1" x14ac:dyDescent="0.35">
      <c r="A143" s="269"/>
      <c r="B143" s="514" t="s">
        <v>403</v>
      </c>
      <c r="C143" s="222"/>
      <c r="D143" s="201">
        <f>+'Calc Sheet 23_24'!H1731</f>
        <v>7830</v>
      </c>
      <c r="E143" s="521">
        <v>5990</v>
      </c>
      <c r="F143" s="379">
        <f>+'Calc Sheet 23_24'!H1731</f>
        <v>7830</v>
      </c>
      <c r="G143" s="379">
        <f>+'Calc Sheet 23_24'!I1731</f>
        <v>7340</v>
      </c>
      <c r="H143" s="244">
        <f t="shared" si="21"/>
        <v>-6.2579821200510852E-2</v>
      </c>
      <c r="I143" s="229">
        <f t="shared" si="24"/>
        <v>1101</v>
      </c>
      <c r="J143" s="562">
        <f>G143+I143</f>
        <v>8441</v>
      </c>
      <c r="K143" s="271">
        <v>9100033030416</v>
      </c>
      <c r="M143" s="417">
        <f>J143+L143</f>
        <v>8441</v>
      </c>
      <c r="N143" s="417">
        <f>+$M143*(1+'Unit tariffs'!$F$2)</f>
        <v>8922.1369999999988</v>
      </c>
      <c r="O143" s="417">
        <f>+$N143*(1+'Unit tariffs'!$F$2)</f>
        <v>9430.6988089999977</v>
      </c>
      <c r="P143" s="417">
        <f>+$O143*(1+'Unit tariffs'!$F$2)</f>
        <v>9968.2486411129976</v>
      </c>
      <c r="Q143" s="781">
        <f>+$P143*(1+'Unit tariffs'!$F$2)</f>
        <v>10536.438813656438</v>
      </c>
      <c r="R143" s="779"/>
      <c r="S143" s="779"/>
      <c r="T143" s="779"/>
    </row>
    <row r="144" spans="1:20" ht="33" hidden="1" customHeight="1" x14ac:dyDescent="0.35">
      <c r="A144" s="269"/>
      <c r="B144" s="514" t="s">
        <v>405</v>
      </c>
      <c r="C144" s="222"/>
      <c r="D144" s="201">
        <v>0</v>
      </c>
      <c r="E144" s="521"/>
      <c r="F144" s="379">
        <f>+'Calc Sheet 23_24'!H2082</f>
        <v>12300</v>
      </c>
      <c r="G144" s="379">
        <f>+'Calc Sheet 23_24'!I2082</f>
        <v>12300</v>
      </c>
      <c r="H144" s="244">
        <f t="shared" si="21"/>
        <v>0</v>
      </c>
      <c r="I144" s="229">
        <f t="shared" si="24"/>
        <v>1845</v>
      </c>
      <c r="J144" s="562">
        <f>G144+I144</f>
        <v>14145</v>
      </c>
      <c r="K144" s="271">
        <v>9100033030416</v>
      </c>
      <c r="M144" s="417">
        <f>J144+L144</f>
        <v>14145</v>
      </c>
      <c r="N144" s="417">
        <f>+$M144*(1+'Unit tariffs'!$F$2)</f>
        <v>14951.264999999999</v>
      </c>
      <c r="O144" s="417">
        <f>+$N144*(1+'Unit tariffs'!$F$2)</f>
        <v>15803.487104999998</v>
      </c>
      <c r="P144" s="417">
        <f>+$O144*(1+'Unit tariffs'!$F$2)</f>
        <v>16704.285869984997</v>
      </c>
      <c r="Q144" s="781">
        <f>+$P144*(1+'Unit tariffs'!$F$2)</f>
        <v>17656.43016457414</v>
      </c>
      <c r="R144" s="779"/>
      <c r="S144" s="779"/>
      <c r="T144" s="779"/>
    </row>
    <row r="145" spans="1:20" ht="26" hidden="1" x14ac:dyDescent="0.35">
      <c r="A145" s="269"/>
      <c r="B145" s="514" t="s">
        <v>404</v>
      </c>
      <c r="C145" s="222"/>
      <c r="D145" s="201">
        <f>+'Calc Sheet 23_24'!H2137</f>
        <v>18390</v>
      </c>
      <c r="E145" s="522">
        <v>16065</v>
      </c>
      <c r="F145" s="379">
        <f>+'Calc Sheet 23_24'!H2137</f>
        <v>18390</v>
      </c>
      <c r="G145" s="379">
        <f>+'Calc Sheet 23_24'!I2137</f>
        <v>10240</v>
      </c>
      <c r="H145" s="244">
        <f t="shared" si="21"/>
        <v>-0.44317563893420336</v>
      </c>
      <c r="I145" s="229">
        <f t="shared" si="24"/>
        <v>1536</v>
      </c>
      <c r="J145" s="562">
        <f>G145+I145</f>
        <v>11776</v>
      </c>
      <c r="K145" s="271">
        <v>9100033030416</v>
      </c>
      <c r="M145" s="417">
        <f>J145+L145</f>
        <v>11776</v>
      </c>
      <c r="N145" s="417">
        <f>+$M145*(1+'Unit tariffs'!$F$2)</f>
        <v>12447.232</v>
      </c>
      <c r="O145" s="417">
        <f>+$N145*(1+'Unit tariffs'!$F$2)</f>
        <v>13156.724224</v>
      </c>
      <c r="P145" s="417">
        <f>+$O145*(1+'Unit tariffs'!$F$2)</f>
        <v>13906.657504767998</v>
      </c>
      <c r="Q145" s="781">
        <f>+$P145*(1+'Unit tariffs'!$F$2)</f>
        <v>14699.336982539773</v>
      </c>
      <c r="R145" s="779"/>
      <c r="S145" s="779"/>
      <c r="T145" s="779"/>
    </row>
    <row r="146" spans="1:20" ht="33" hidden="1" customHeight="1" x14ac:dyDescent="0.35">
      <c r="A146" s="269"/>
      <c r="B146" s="514" t="s">
        <v>406</v>
      </c>
      <c r="C146" s="222"/>
      <c r="D146" s="201">
        <v>15894.94</v>
      </c>
      <c r="E146" s="521"/>
      <c r="F146" s="379">
        <f>+'Calc Sheet 23_24'!H2154</f>
        <v>41100</v>
      </c>
      <c r="G146" s="379">
        <f>+'Calc Sheet 23_24'!I2154</f>
        <v>41100</v>
      </c>
      <c r="H146" s="228">
        <f t="shared" si="21"/>
        <v>0</v>
      </c>
      <c r="I146" s="229">
        <f t="shared" si="24"/>
        <v>6165</v>
      </c>
      <c r="J146" s="562">
        <f t="shared" ref="J146" si="25">G146+I146</f>
        <v>47265</v>
      </c>
      <c r="K146" s="271">
        <v>9100033030416</v>
      </c>
      <c r="M146" s="417">
        <f t="shared" ref="M146" si="26">J146+L146</f>
        <v>47265</v>
      </c>
      <c r="N146" s="417">
        <f>+$M146*(1+'Unit tariffs'!$F$2)</f>
        <v>49959.104999999996</v>
      </c>
      <c r="O146" s="417">
        <f>+$N146*(1+'Unit tariffs'!$F$2)</f>
        <v>52806.773984999993</v>
      </c>
      <c r="P146" s="417">
        <f>+$O146*(1+'Unit tariffs'!$F$2)</f>
        <v>55816.760102144988</v>
      </c>
      <c r="Q146" s="781">
        <f>+$P146*(1+'Unit tariffs'!$F$2)</f>
        <v>58998.315427967253</v>
      </c>
      <c r="R146" s="779"/>
      <c r="S146" s="779"/>
      <c r="T146" s="779"/>
    </row>
    <row r="147" spans="1:20" hidden="1" x14ac:dyDescent="0.35">
      <c r="A147" s="269"/>
      <c r="B147" s="221" t="s">
        <v>137</v>
      </c>
      <c r="C147" s="222"/>
      <c r="D147" s="201">
        <f>+'Calc Sheet 23_24'!H2208</f>
        <v>26430</v>
      </c>
      <c r="E147" s="522">
        <v>20260</v>
      </c>
      <c r="F147" s="379">
        <f>+'Calc Sheet 23_24'!H2208</f>
        <v>26430</v>
      </c>
      <c r="G147" s="379">
        <f>+'Calc Sheet 23_24'!I2208</f>
        <v>25770</v>
      </c>
      <c r="H147" s="228">
        <f t="shared" si="18"/>
        <v>-2.4971623155505107E-2</v>
      </c>
      <c r="I147" s="229">
        <f t="shared" si="24"/>
        <v>3865.5</v>
      </c>
      <c r="J147" s="562">
        <f t="shared" si="19"/>
        <v>29635.5</v>
      </c>
      <c r="K147" s="271">
        <v>9100033030416</v>
      </c>
      <c r="M147" s="417">
        <f t="shared" si="20"/>
        <v>29635.5</v>
      </c>
      <c r="N147" s="417">
        <f>+$M147*(1+'Unit tariffs'!$F$2)</f>
        <v>31324.723499999996</v>
      </c>
      <c r="O147" s="417">
        <f>+$N147*(1+'Unit tariffs'!$F$2)</f>
        <v>33110.232739499996</v>
      </c>
      <c r="P147" s="417">
        <f>+$O147*(1+'Unit tariffs'!$F$2)</f>
        <v>34997.516005651494</v>
      </c>
      <c r="Q147" s="781">
        <f>+$P147*(1+'Unit tariffs'!$F$2)</f>
        <v>36992.374417973624</v>
      </c>
      <c r="R147" s="779"/>
      <c r="S147" s="779"/>
      <c r="T147" s="779"/>
    </row>
    <row r="148" spans="1:20" ht="23.25" hidden="1" customHeight="1" x14ac:dyDescent="0.35">
      <c r="A148" s="269"/>
      <c r="B148" s="514" t="s">
        <v>408</v>
      </c>
      <c r="C148" s="222"/>
      <c r="D148" s="201">
        <v>0</v>
      </c>
      <c r="E148" s="521"/>
      <c r="F148" s="379">
        <f>+'Calc Sheet 23_24'!H2225</f>
        <v>100000</v>
      </c>
      <c r="G148" s="379">
        <f>+'Calc Sheet 23_24'!I2225</f>
        <v>100000</v>
      </c>
      <c r="H148" s="228">
        <f t="shared" ref="H148:H150" si="27">(G148-F148)/F148</f>
        <v>0</v>
      </c>
      <c r="I148" s="229">
        <f t="shared" si="24"/>
        <v>15000</v>
      </c>
      <c r="J148" s="562">
        <f t="shared" si="19"/>
        <v>115000</v>
      </c>
      <c r="K148" s="271">
        <v>9100033030416</v>
      </c>
      <c r="M148" s="417">
        <f t="shared" si="20"/>
        <v>115000</v>
      </c>
      <c r="N148" s="417">
        <f>+$M148*(1+'Unit tariffs'!$F$2)</f>
        <v>121555</v>
      </c>
      <c r="O148" s="417">
        <f>+$N148*(1+'Unit tariffs'!$F$2)</f>
        <v>128483.63499999999</v>
      </c>
      <c r="P148" s="417">
        <f>+$O148*(1+'Unit tariffs'!$F$2)</f>
        <v>135807.20219499999</v>
      </c>
      <c r="Q148" s="781">
        <f>+$P148*(1+'Unit tariffs'!$F$2)</f>
        <v>143548.21272011497</v>
      </c>
      <c r="R148" s="779"/>
      <c r="S148" s="779"/>
      <c r="T148" s="779"/>
    </row>
    <row r="149" spans="1:20" ht="23.25" hidden="1" customHeight="1" x14ac:dyDescent="0.35">
      <c r="A149" s="269"/>
      <c r="B149" s="514" t="s">
        <v>409</v>
      </c>
      <c r="C149" s="222"/>
      <c r="D149" s="201">
        <v>0</v>
      </c>
      <c r="E149" s="521"/>
      <c r="F149" s="379">
        <f>+'Calc Sheet 23_24'!H2241</f>
        <v>170000</v>
      </c>
      <c r="G149" s="379">
        <f>+'Calc Sheet 23_24'!I2241</f>
        <v>170000</v>
      </c>
      <c r="H149" s="228">
        <f t="shared" si="27"/>
        <v>0</v>
      </c>
      <c r="I149" s="229">
        <f t="shared" si="24"/>
        <v>25500</v>
      </c>
      <c r="J149" s="562">
        <f t="shared" si="19"/>
        <v>195500</v>
      </c>
      <c r="K149" s="271">
        <v>9100033030416</v>
      </c>
      <c r="M149" s="417">
        <f t="shared" si="20"/>
        <v>195500</v>
      </c>
      <c r="N149" s="417">
        <f>+$M149*(1+'Unit tariffs'!$F$2)</f>
        <v>206643.5</v>
      </c>
      <c r="O149" s="417">
        <f>+$N149*(1+'Unit tariffs'!$F$2)</f>
        <v>218422.1795</v>
      </c>
      <c r="P149" s="417">
        <f>+$O149*(1+'Unit tariffs'!$F$2)</f>
        <v>230872.2437315</v>
      </c>
      <c r="Q149" s="781">
        <f>+$P149*(1+'Unit tariffs'!$F$2)</f>
        <v>244031.96162419548</v>
      </c>
      <c r="R149" s="779"/>
      <c r="S149" s="779"/>
      <c r="T149" s="779"/>
    </row>
    <row r="150" spans="1:20" hidden="1" x14ac:dyDescent="0.35">
      <c r="A150" s="269"/>
      <c r="B150" s="514" t="s">
        <v>412</v>
      </c>
      <c r="C150" s="222"/>
      <c r="D150" s="556">
        <v>954.07</v>
      </c>
      <c r="E150" s="521"/>
      <c r="F150" s="379">
        <f>+'Calc Sheet 23_24'!H2272</f>
        <v>1810</v>
      </c>
      <c r="G150" s="379">
        <f>+'Calc Sheet 23_24'!I2272</f>
        <v>1910</v>
      </c>
      <c r="H150" s="228">
        <f t="shared" si="27"/>
        <v>5.5248618784530384E-2</v>
      </c>
      <c r="I150" s="229">
        <f t="shared" si="24"/>
        <v>286.5</v>
      </c>
      <c r="J150" s="562">
        <f>+I150+G150</f>
        <v>2196.5</v>
      </c>
      <c r="K150" s="271">
        <v>9100033030416</v>
      </c>
      <c r="M150" s="417">
        <f>+L150+J150</f>
        <v>2196.5</v>
      </c>
      <c r="N150" s="417">
        <f>+$M150*(1+'Unit tariffs'!$F$2)</f>
        <v>2321.7004999999999</v>
      </c>
      <c r="O150" s="417">
        <f>+$N150*(1+'Unit tariffs'!$F$2)</f>
        <v>2454.0374284999998</v>
      </c>
      <c r="P150" s="417">
        <f>+$O150*(1+'Unit tariffs'!$F$2)</f>
        <v>2593.9175619244998</v>
      </c>
      <c r="Q150" s="781">
        <f>+$P150*(1+'Unit tariffs'!$F$2)</f>
        <v>2741.7708629541962</v>
      </c>
      <c r="R150" s="779"/>
      <c r="S150" s="779"/>
      <c r="T150" s="779"/>
    </row>
    <row r="151" spans="1:20" ht="20.25" hidden="1" customHeight="1" x14ac:dyDescent="0.35">
      <c r="A151" s="269"/>
      <c r="B151" s="558" t="s">
        <v>407</v>
      </c>
      <c r="C151" s="222"/>
      <c r="D151" s="201"/>
      <c r="E151" s="521"/>
      <c r="F151" s="606"/>
      <c r="G151" s="379"/>
      <c r="H151" s="244"/>
      <c r="I151" s="245"/>
      <c r="J151" s="562"/>
      <c r="K151" s="271"/>
      <c r="M151" s="417"/>
      <c r="N151" s="417"/>
      <c r="O151" s="417"/>
      <c r="P151" s="417"/>
      <c r="Q151" s="781"/>
      <c r="R151" s="779"/>
      <c r="S151" s="779"/>
      <c r="T151" s="779"/>
    </row>
    <row r="152" spans="1:20" ht="21" customHeight="1" thickTop="1" x14ac:dyDescent="0.35">
      <c r="A152" s="286"/>
      <c r="B152" s="322" t="s">
        <v>249</v>
      </c>
      <c r="C152" s="317"/>
      <c r="D152" s="305"/>
      <c r="E152" s="518"/>
      <c r="F152" s="604"/>
      <c r="G152" s="292"/>
      <c r="H152" s="290"/>
      <c r="I152" s="291"/>
      <c r="J152" s="569"/>
      <c r="K152" s="310"/>
      <c r="M152" s="413"/>
      <c r="N152" s="413"/>
      <c r="O152" s="413"/>
      <c r="P152" s="413"/>
      <c r="Q152" s="777"/>
      <c r="R152" s="779"/>
      <c r="S152" s="779"/>
      <c r="T152" s="779"/>
    </row>
    <row r="153" spans="1:20" ht="58.25" customHeight="1" x14ac:dyDescent="0.35">
      <c r="A153" s="269"/>
      <c r="B153" s="359" t="s">
        <v>250</v>
      </c>
      <c r="C153" s="246"/>
      <c r="D153" s="248" t="s">
        <v>251</v>
      </c>
      <c r="E153" s="537"/>
      <c r="F153" s="622" t="s">
        <v>344</v>
      </c>
      <c r="G153" s="644" t="s">
        <v>626</v>
      </c>
      <c r="H153" s="228">
        <v>4.7E-2</v>
      </c>
      <c r="I153" s="229"/>
      <c r="J153" s="570"/>
      <c r="K153" s="271">
        <v>9100033030416</v>
      </c>
      <c r="M153" s="417"/>
      <c r="N153" s="417"/>
      <c r="O153" s="417"/>
      <c r="P153" s="417"/>
      <c r="Q153" s="781"/>
      <c r="R153" s="779" t="s">
        <v>633</v>
      </c>
      <c r="S153" s="779" t="s">
        <v>633</v>
      </c>
      <c r="T153" s="779" t="s">
        <v>633</v>
      </c>
    </row>
    <row r="154" spans="1:20" ht="58.25" customHeight="1" x14ac:dyDescent="0.35">
      <c r="A154" s="269"/>
      <c r="B154" s="247" t="s">
        <v>252</v>
      </c>
      <c r="C154" s="246"/>
      <c r="D154" s="248" t="s">
        <v>251</v>
      </c>
      <c r="E154" s="537"/>
      <c r="F154" s="622" t="s">
        <v>344</v>
      </c>
      <c r="G154" s="387" t="s">
        <v>626</v>
      </c>
      <c r="H154" s="228">
        <v>4.7E-2</v>
      </c>
      <c r="I154" s="229"/>
      <c r="J154" s="570"/>
      <c r="K154" s="271">
        <v>9100033030416</v>
      </c>
      <c r="M154" s="417"/>
      <c r="N154" s="417"/>
      <c r="O154" s="417"/>
      <c r="P154" s="417"/>
      <c r="Q154" s="781"/>
      <c r="R154" s="779" t="s">
        <v>633</v>
      </c>
      <c r="S154" s="779" t="s">
        <v>633</v>
      </c>
      <c r="T154" s="779" t="s">
        <v>633</v>
      </c>
    </row>
    <row r="155" spans="1:20" ht="58.25" customHeight="1" x14ac:dyDescent="0.35">
      <c r="A155" s="269"/>
      <c r="B155" s="249" t="s">
        <v>258</v>
      </c>
      <c r="C155" s="246"/>
      <c r="D155" s="250" t="s">
        <v>253</v>
      </c>
      <c r="E155" s="538"/>
      <c r="F155" s="622" t="s">
        <v>343</v>
      </c>
      <c r="G155" s="387" t="s">
        <v>627</v>
      </c>
      <c r="H155" s="228">
        <v>4.7E-2</v>
      </c>
      <c r="I155" s="229"/>
      <c r="J155" s="570"/>
      <c r="K155" s="271">
        <v>9100033030416</v>
      </c>
      <c r="M155" s="417"/>
      <c r="N155" s="417"/>
      <c r="O155" s="417"/>
      <c r="P155" s="417"/>
      <c r="Q155" s="781"/>
      <c r="R155" s="779" t="s">
        <v>633</v>
      </c>
      <c r="S155" s="779" t="s">
        <v>633</v>
      </c>
      <c r="T155" s="779" t="s">
        <v>633</v>
      </c>
    </row>
    <row r="156" spans="1:20" ht="58.25" customHeight="1" x14ac:dyDescent="0.35">
      <c r="A156" s="269"/>
      <c r="B156" s="249" t="s">
        <v>345</v>
      </c>
      <c r="C156" s="246"/>
      <c r="D156" s="250" t="s">
        <v>254</v>
      </c>
      <c r="E156" s="538"/>
      <c r="F156" s="622" t="s">
        <v>255</v>
      </c>
      <c r="G156" s="387" t="s">
        <v>628</v>
      </c>
      <c r="H156" s="228">
        <v>4.7E-2</v>
      </c>
      <c r="I156" s="229"/>
      <c r="J156" s="570"/>
      <c r="K156" s="271">
        <v>9100033030416</v>
      </c>
      <c r="M156" s="417"/>
      <c r="N156" s="417"/>
      <c r="O156" s="417"/>
      <c r="P156" s="417"/>
      <c r="Q156" s="781"/>
      <c r="R156" s="779" t="s">
        <v>633</v>
      </c>
      <c r="S156" s="779" t="s">
        <v>633</v>
      </c>
      <c r="T156" s="779" t="s">
        <v>633</v>
      </c>
    </row>
    <row r="157" spans="1:20" ht="58.25" customHeight="1" x14ac:dyDescent="0.35">
      <c r="A157" s="269"/>
      <c r="B157" s="249" t="s">
        <v>346</v>
      </c>
      <c r="C157" s="246"/>
      <c r="D157" s="250" t="s">
        <v>255</v>
      </c>
      <c r="E157" s="538"/>
      <c r="F157" s="622" t="s">
        <v>342</v>
      </c>
      <c r="G157" s="387" t="s">
        <v>629</v>
      </c>
      <c r="H157" s="392">
        <v>4.7E-2</v>
      </c>
      <c r="I157" s="229"/>
      <c r="J157" s="570"/>
      <c r="K157" s="271">
        <v>9100033030416</v>
      </c>
      <c r="M157" s="417"/>
      <c r="N157" s="417"/>
      <c r="O157" s="417"/>
      <c r="P157" s="417"/>
      <c r="Q157" s="781"/>
      <c r="R157" s="779" t="s">
        <v>633</v>
      </c>
      <c r="S157" s="779" t="s">
        <v>633</v>
      </c>
      <c r="T157" s="779" t="s">
        <v>633</v>
      </c>
    </row>
    <row r="158" spans="1:20" ht="31.25" customHeight="1" x14ac:dyDescent="0.35">
      <c r="A158" s="269"/>
      <c r="B158" s="980" t="s">
        <v>256</v>
      </c>
      <c r="C158" s="981"/>
      <c r="D158" s="981"/>
      <c r="E158" s="981"/>
      <c r="F158" s="981"/>
      <c r="G158" s="981"/>
      <c r="H158" s="981"/>
      <c r="I158" s="981"/>
      <c r="J158" s="982"/>
      <c r="K158" s="271"/>
      <c r="M158" s="417"/>
      <c r="N158" s="417"/>
      <c r="O158" s="417"/>
      <c r="P158" s="417"/>
      <c r="Q158" s="781"/>
      <c r="R158" s="779"/>
      <c r="S158" s="779"/>
      <c r="T158" s="779"/>
    </row>
    <row r="159" spans="1:20" ht="15" thickBot="1" x14ac:dyDescent="0.4">
      <c r="A159" s="364"/>
      <c r="B159" s="365"/>
      <c r="C159" s="375"/>
      <c r="D159" s="376"/>
      <c r="E159" s="539"/>
      <c r="F159" s="623"/>
      <c r="G159" s="388"/>
      <c r="H159" s="361"/>
      <c r="I159" s="362"/>
      <c r="J159" s="571"/>
      <c r="K159" s="363"/>
      <c r="M159" s="427"/>
      <c r="N159" s="427"/>
      <c r="O159" s="427"/>
      <c r="P159" s="427"/>
      <c r="Q159" s="790"/>
      <c r="R159" s="779"/>
      <c r="S159" s="779"/>
      <c r="T159" s="779"/>
    </row>
    <row r="160" spans="1:20" ht="19.5" customHeight="1" x14ac:dyDescent="0.35">
      <c r="A160" s="261"/>
      <c r="B160" s="262" t="s">
        <v>148</v>
      </c>
      <c r="C160" s="374"/>
      <c r="D160" s="368" t="s">
        <v>74</v>
      </c>
      <c r="E160" s="529"/>
      <c r="F160" s="613" t="s">
        <v>74</v>
      </c>
      <c r="G160" s="370" t="s">
        <v>74</v>
      </c>
      <c r="H160" s="369" t="s">
        <v>85</v>
      </c>
      <c r="I160" s="52" t="s">
        <v>441</v>
      </c>
      <c r="J160" s="370" t="s">
        <v>138</v>
      </c>
      <c r="K160" s="371" t="s">
        <v>75</v>
      </c>
      <c r="M160" s="670" t="s">
        <v>138</v>
      </c>
      <c r="N160" s="670" t="s">
        <v>138</v>
      </c>
      <c r="O160" s="670" t="s">
        <v>138</v>
      </c>
      <c r="P160" s="670" t="s">
        <v>138</v>
      </c>
      <c r="Q160" s="785" t="s">
        <v>138</v>
      </c>
      <c r="R160" s="779"/>
      <c r="S160" s="779"/>
      <c r="T160" s="779"/>
    </row>
    <row r="161" spans="1:20" x14ac:dyDescent="0.35">
      <c r="A161" s="269"/>
      <c r="B161" s="227"/>
      <c r="C161" s="226"/>
      <c r="D161" s="328" t="s">
        <v>77</v>
      </c>
      <c r="E161" s="516"/>
      <c r="F161" s="602" t="s">
        <v>77</v>
      </c>
      <c r="G161" s="224" t="s">
        <v>77</v>
      </c>
      <c r="H161" s="327" t="s">
        <v>86</v>
      </c>
      <c r="I161" s="643">
        <f>+'Unit tariffs'!F$3</f>
        <v>0.15</v>
      </c>
      <c r="J161" s="224" t="s">
        <v>139</v>
      </c>
      <c r="K161" s="325" t="s">
        <v>78</v>
      </c>
      <c r="M161" s="667" t="s">
        <v>139</v>
      </c>
      <c r="N161" s="667" t="s">
        <v>139</v>
      </c>
      <c r="O161" s="667" t="s">
        <v>139</v>
      </c>
      <c r="P161" s="667" t="s">
        <v>139</v>
      </c>
      <c r="Q161" s="775" t="s">
        <v>139</v>
      </c>
      <c r="R161" s="779"/>
      <c r="S161" s="779"/>
      <c r="T161" s="779"/>
    </row>
    <row r="162" spans="1:20" x14ac:dyDescent="0.35">
      <c r="A162" s="269"/>
      <c r="B162" s="227" t="s">
        <v>105</v>
      </c>
      <c r="C162" s="226"/>
      <c r="D162" s="328" t="str">
        <f>D$4</f>
        <v>2016/2017</v>
      </c>
      <c r="E162" s="516"/>
      <c r="F162" s="665" t="str">
        <f>'Calc Sheet 23_24'!$H$11</f>
        <v>2025/2026</v>
      </c>
      <c r="G162" s="224" t="str">
        <f>'Calc Sheet 23_24'!$I$11</f>
        <v>2026/2027</v>
      </c>
      <c r="H162" s="327" t="str">
        <f>G162</f>
        <v>2026/2027</v>
      </c>
      <c r="I162" s="52" t="str">
        <f>G162</f>
        <v>2026/2027</v>
      </c>
      <c r="J162" s="224" t="str">
        <f>I162</f>
        <v>2026/2027</v>
      </c>
      <c r="K162" s="325" t="s">
        <v>79</v>
      </c>
      <c r="M162" s="667" t="s">
        <v>451</v>
      </c>
      <c r="N162" s="667" t="s">
        <v>578</v>
      </c>
      <c r="O162" s="667" t="s">
        <v>579</v>
      </c>
      <c r="P162" s="667" t="s">
        <v>580</v>
      </c>
      <c r="Q162" s="775" t="s">
        <v>620</v>
      </c>
      <c r="R162" s="779"/>
      <c r="S162" s="779"/>
      <c r="T162" s="779"/>
    </row>
    <row r="163" spans="1:20" ht="15" thickBot="1" x14ac:dyDescent="0.4">
      <c r="A163" s="293"/>
      <c r="B163" s="294"/>
      <c r="C163" s="295"/>
      <c r="D163" s="331" t="s">
        <v>80</v>
      </c>
      <c r="E163" s="517"/>
      <c r="F163" s="603" t="s">
        <v>80</v>
      </c>
      <c r="G163" s="334" t="s">
        <v>80</v>
      </c>
      <c r="H163" s="332"/>
      <c r="I163" s="333"/>
      <c r="J163" s="334"/>
      <c r="K163" s="335"/>
      <c r="M163" s="411"/>
      <c r="N163" s="411"/>
      <c r="O163" s="411"/>
      <c r="P163" s="411"/>
      <c r="Q163" s="776"/>
      <c r="R163" s="779"/>
      <c r="S163" s="779"/>
      <c r="T163" s="779"/>
    </row>
    <row r="164" spans="1:20" ht="16" thickTop="1" x14ac:dyDescent="0.35">
      <c r="A164" s="286"/>
      <c r="B164" s="303"/>
      <c r="C164" s="317"/>
      <c r="D164" s="318"/>
      <c r="E164" s="540"/>
      <c r="F164" s="624"/>
      <c r="G164" s="389"/>
      <c r="H164" s="674" t="s">
        <v>456</v>
      </c>
      <c r="I164" s="320"/>
      <c r="J164" s="572"/>
      <c r="K164" s="321"/>
      <c r="M164" s="429"/>
      <c r="N164" s="429"/>
      <c r="O164" s="429"/>
      <c r="P164" s="429"/>
      <c r="Q164" s="791"/>
      <c r="R164" s="779"/>
      <c r="S164" s="779"/>
      <c r="T164" s="779"/>
    </row>
    <row r="165" spans="1:20" ht="25" hidden="1" x14ac:dyDescent="0.35">
      <c r="A165" s="269"/>
      <c r="B165" s="249" t="s">
        <v>257</v>
      </c>
      <c r="C165" s="251"/>
      <c r="D165" s="378">
        <v>82.004999999999995</v>
      </c>
      <c r="E165" s="541"/>
      <c r="F165" s="625">
        <v>93.186873780000013</v>
      </c>
      <c r="G165" s="390">
        <f>+F165*(1+'Unit tariffs'!$F$2)</f>
        <v>98.498525585460015</v>
      </c>
      <c r="H165" s="228">
        <f t="shared" ref="H165:H166" si="28">(G165-F165)/F165</f>
        <v>5.7000000000000016E-2</v>
      </c>
      <c r="I165" s="229">
        <f t="shared" ref="I165:I166" si="29">G165*I$3</f>
        <v>14.774778837819001</v>
      </c>
      <c r="J165" s="573">
        <f>+I165+G165</f>
        <v>113.27330442327901</v>
      </c>
      <c r="K165" s="351">
        <v>9100033030416</v>
      </c>
      <c r="L165" s="151" t="s">
        <v>275</v>
      </c>
      <c r="M165" s="417">
        <f>11.67</f>
        <v>11.67</v>
      </c>
      <c r="N165" s="417">
        <f>+$M165*(1+'Unit tariffs'!$F$2)</f>
        <v>12.335189999999999</v>
      </c>
      <c r="O165" s="417">
        <f>+$N165*(1+'Unit tariffs'!$F$2)</f>
        <v>13.038295829999997</v>
      </c>
      <c r="P165" s="417">
        <f>+$O165*(1+'Unit tariffs'!$F$2)</f>
        <v>13.781478692309996</v>
      </c>
      <c r="Q165" s="781"/>
      <c r="R165" s="779"/>
      <c r="S165" s="779"/>
      <c r="T165" s="779"/>
    </row>
    <row r="166" spans="1:20" hidden="1" x14ac:dyDescent="0.35">
      <c r="A166" s="269"/>
      <c r="B166" s="216" t="s">
        <v>319</v>
      </c>
      <c r="C166" s="253"/>
      <c r="D166" s="378">
        <v>63.9</v>
      </c>
      <c r="E166" s="541"/>
      <c r="F166" s="625">
        <v>72.613148400000014</v>
      </c>
      <c r="G166" s="390">
        <f>+F166*(1+'Unit tariffs'!$F$2)</f>
        <v>76.752097858800013</v>
      </c>
      <c r="H166" s="228">
        <f t="shared" si="28"/>
        <v>5.6999999999999974E-2</v>
      </c>
      <c r="I166" s="229">
        <f t="shared" si="29"/>
        <v>11.512814678820002</v>
      </c>
      <c r="J166" s="574">
        <f>+I166+G166</f>
        <v>88.26491253762002</v>
      </c>
      <c r="K166" s="351">
        <v>9100033030416</v>
      </c>
      <c r="M166" s="417">
        <f>+L166+J166</f>
        <v>88.26491253762002</v>
      </c>
      <c r="N166" s="417">
        <f>+$M166*(1+'Unit tariffs'!$F$2)</f>
        <v>93.296012552264358</v>
      </c>
      <c r="O166" s="417">
        <f>+$N166*(1+'Unit tariffs'!$F$2)</f>
        <v>98.613885267743427</v>
      </c>
      <c r="P166" s="417">
        <f>+$O166*(1+'Unit tariffs'!$F$2)</f>
        <v>104.23487672800479</v>
      </c>
      <c r="Q166" s="781"/>
      <c r="R166" s="779"/>
      <c r="S166" s="779"/>
      <c r="T166" s="779"/>
    </row>
    <row r="167" spans="1:20" x14ac:dyDescent="0.35">
      <c r="A167" s="269"/>
      <c r="B167" s="216"/>
      <c r="C167" s="254"/>
      <c r="D167" s="259"/>
      <c r="E167" s="542"/>
      <c r="F167" s="626"/>
      <c r="G167" s="258"/>
      <c r="H167" s="260"/>
      <c r="I167" s="255"/>
      <c r="J167" s="575"/>
      <c r="K167" s="352"/>
      <c r="M167" s="431"/>
      <c r="N167" s="431"/>
      <c r="O167" s="417"/>
      <c r="P167" s="417"/>
      <c r="Q167" s="781"/>
      <c r="R167" s="779"/>
      <c r="S167" s="779"/>
      <c r="T167" s="779"/>
    </row>
    <row r="168" spans="1:20" x14ac:dyDescent="0.35">
      <c r="A168" s="269"/>
      <c r="B168" s="216" t="s">
        <v>320</v>
      </c>
      <c r="C168" s="254"/>
      <c r="D168" s="259"/>
      <c r="E168" s="542"/>
      <c r="F168" s="626"/>
      <c r="G168" s="258"/>
      <c r="H168" s="260"/>
      <c r="I168" s="255"/>
      <c r="J168" s="575"/>
      <c r="K168" s="352"/>
      <c r="M168" s="431"/>
      <c r="N168" s="431"/>
      <c r="O168" s="417"/>
      <c r="P168" s="417"/>
      <c r="Q168" s="781"/>
      <c r="R168" s="779"/>
      <c r="S168" s="779"/>
      <c r="T168" s="779"/>
    </row>
    <row r="169" spans="1:20" x14ac:dyDescent="0.35">
      <c r="A169" s="269"/>
      <c r="B169" s="216" t="s">
        <v>274</v>
      </c>
      <c r="C169" s="254"/>
      <c r="D169" s="259">
        <v>170.13374999999999</v>
      </c>
      <c r="E169" s="542"/>
      <c r="F169" s="625">
        <v>193.33250761500003</v>
      </c>
      <c r="G169" s="390">
        <f>+F169*(1+'Unit tariffs'!$F$2)</f>
        <v>204.35246054905502</v>
      </c>
      <c r="H169" s="228">
        <f t="shared" ref="H169" si="30">(G169-F169)/F169</f>
        <v>5.6999999999999988E-2</v>
      </c>
      <c r="I169" s="229">
        <f>G169*I$3</f>
        <v>30.652869082358251</v>
      </c>
      <c r="J169" s="574">
        <f>+I169+G169</f>
        <v>235.00532963141328</v>
      </c>
      <c r="K169" s="351">
        <v>9100033030416</v>
      </c>
      <c r="M169" s="417">
        <f>+L169+J169</f>
        <v>235.00532963141328</v>
      </c>
      <c r="N169" s="417">
        <f>+$M169*(1+'Unit tariffs'!$F$2)</f>
        <v>248.40063342040381</v>
      </c>
      <c r="O169" s="417">
        <f>+$N169*(1+'Unit tariffs'!$F$2)</f>
        <v>262.55946952536681</v>
      </c>
      <c r="P169" s="417">
        <f>+$O169*(1+'Unit tariffs'!$F$2)</f>
        <v>277.5253592883127</v>
      </c>
      <c r="Q169" s="781">
        <f>+$P169*(1+'Unit tariffs'!$F$2)</f>
        <v>293.34430476774651</v>
      </c>
      <c r="R169" s="779" t="s">
        <v>633</v>
      </c>
      <c r="S169" s="779" t="s">
        <v>633</v>
      </c>
      <c r="T169" s="779" t="s">
        <v>633</v>
      </c>
    </row>
    <row r="170" spans="1:20" ht="21.75" hidden="1" customHeight="1" x14ac:dyDescent="0.35">
      <c r="A170" s="276" t="s">
        <v>263</v>
      </c>
      <c r="B170" s="256"/>
      <c r="C170" s="254"/>
      <c r="D170" s="259"/>
      <c r="E170" s="542"/>
      <c r="F170" s="626"/>
      <c r="G170" s="258"/>
      <c r="H170" s="260"/>
      <c r="I170" s="257"/>
      <c r="J170" s="576"/>
      <c r="K170" s="352"/>
      <c r="M170" s="433"/>
      <c r="N170" s="433"/>
      <c r="O170" s="417"/>
      <c r="P170" s="417"/>
      <c r="Q170" s="781"/>
      <c r="R170" s="779" t="s">
        <v>633</v>
      </c>
      <c r="S170" s="779" t="s">
        <v>633</v>
      </c>
      <c r="T170" s="779" t="s">
        <v>633</v>
      </c>
    </row>
    <row r="171" spans="1:20" hidden="1" x14ac:dyDescent="0.35">
      <c r="A171" s="269"/>
      <c r="B171" s="216" t="s">
        <v>321</v>
      </c>
      <c r="C171" s="254"/>
      <c r="D171" s="378">
        <v>63.768319353000003</v>
      </c>
      <c r="E171" s="541"/>
      <c r="F171" s="625">
        <v>72.46351230669768</v>
      </c>
      <c r="G171" s="390">
        <f>+F171*(1+'Unit tariffs'!$F$2)</f>
        <v>76.593932508179449</v>
      </c>
      <c r="H171" s="228">
        <f t="shared" ref="H171" si="31">(G171-F171)/F171</f>
        <v>5.7000000000000016E-2</v>
      </c>
      <c r="I171" s="229">
        <f>G171*I$3</f>
        <v>11.489089876226917</v>
      </c>
      <c r="J171" s="574">
        <f>+I171+G171</f>
        <v>88.083022384406362</v>
      </c>
      <c r="K171" s="351">
        <v>9100033030416</v>
      </c>
      <c r="M171" s="417">
        <f>+L171+J171</f>
        <v>88.083022384406362</v>
      </c>
      <c r="N171" s="417">
        <f>+$M171*(1+'Unit tariffs'!$F$2)</f>
        <v>93.10375466031752</v>
      </c>
      <c r="O171" s="417">
        <f>+$N171*(1+'Unit tariffs'!$F$2)</f>
        <v>98.41066867595562</v>
      </c>
      <c r="P171" s="417">
        <f>+$O171*(1+'Unit tariffs'!$F$2)</f>
        <v>104.02007679048508</v>
      </c>
      <c r="Q171" s="781">
        <f>+$P171*(1+'Unit tariffs'!$F$2)</f>
        <v>109.94922116754272</v>
      </c>
      <c r="R171" s="779" t="s">
        <v>633</v>
      </c>
      <c r="S171" s="779" t="s">
        <v>633</v>
      </c>
      <c r="T171" s="779" t="s">
        <v>633</v>
      </c>
    </row>
    <row r="172" spans="1:20" hidden="1" x14ac:dyDescent="0.35">
      <c r="A172" s="276" t="s">
        <v>264</v>
      </c>
      <c r="B172" s="227"/>
      <c r="C172" s="254"/>
      <c r="D172" s="259"/>
      <c r="E172" s="542"/>
      <c r="F172" s="626"/>
      <c r="G172" s="258"/>
      <c r="H172" s="260"/>
      <c r="I172" s="254"/>
      <c r="J172" s="577"/>
      <c r="K172" s="352"/>
      <c r="M172" s="435"/>
      <c r="N172" s="435"/>
      <c r="O172" s="417"/>
      <c r="P172" s="417"/>
      <c r="Q172" s="781"/>
      <c r="R172" s="779" t="s">
        <v>633</v>
      </c>
      <c r="S172" s="779" t="s">
        <v>633</v>
      </c>
      <c r="T172" s="779" t="s">
        <v>633</v>
      </c>
    </row>
    <row r="173" spans="1:20" hidden="1" x14ac:dyDescent="0.35">
      <c r="A173" s="269"/>
      <c r="B173" s="216" t="s">
        <v>322</v>
      </c>
      <c r="C173" s="254"/>
      <c r="D173" s="378">
        <v>379.45599614999998</v>
      </c>
      <c r="E173" s="541"/>
      <c r="F173" s="625">
        <v>431.19709796102939</v>
      </c>
      <c r="G173" s="390">
        <f>+F173*(1+'Unit tariffs'!$F$2)</f>
        <v>455.77533254480801</v>
      </c>
      <c r="H173" s="228">
        <f t="shared" ref="H173" si="32">(G173-F173)/F173</f>
        <v>5.6999999999999884E-2</v>
      </c>
      <c r="I173" s="229">
        <f t="shared" ref="I173:I177" si="33">G173*I$3</f>
        <v>68.366299881721204</v>
      </c>
      <c r="J173" s="574">
        <f t="shared" ref="J173:J177" si="34">+I173+G173</f>
        <v>524.14163242652921</v>
      </c>
      <c r="K173" s="351">
        <v>9100033030416</v>
      </c>
      <c r="M173" s="417">
        <f t="shared" ref="M173:M177" si="35">+L173+J173</f>
        <v>524.14163242652921</v>
      </c>
      <c r="N173" s="417">
        <f>+$M173*(1+'Unit tariffs'!$F$2)</f>
        <v>554.01770547484136</v>
      </c>
      <c r="O173" s="417">
        <f>+$N173*(1+'Unit tariffs'!$F$2)</f>
        <v>585.59671468690726</v>
      </c>
      <c r="P173" s="417">
        <f>+$O173*(1+'Unit tariffs'!$F$2)</f>
        <v>618.97572742406089</v>
      </c>
      <c r="Q173" s="781">
        <f>+$P173*(1+'Unit tariffs'!$F$2)</f>
        <v>654.25734388723231</v>
      </c>
      <c r="R173" s="779" t="s">
        <v>633</v>
      </c>
      <c r="S173" s="779" t="s">
        <v>633</v>
      </c>
      <c r="T173" s="779" t="s">
        <v>633</v>
      </c>
    </row>
    <row r="174" spans="1:20" hidden="1" x14ac:dyDescent="0.35">
      <c r="A174" s="269"/>
      <c r="B174" s="216" t="s">
        <v>323</v>
      </c>
      <c r="C174" s="254"/>
      <c r="D174" s="511">
        <f>+D173*1.33</f>
        <v>504.67647487950001</v>
      </c>
      <c r="E174" s="543"/>
      <c r="F174" s="627">
        <v>0</v>
      </c>
      <c r="G174" s="662" t="s">
        <v>447</v>
      </c>
      <c r="H174" s="510"/>
      <c r="I174" s="229"/>
      <c r="J174" s="578"/>
      <c r="K174" s="352"/>
      <c r="M174" s="417"/>
      <c r="N174" s="417"/>
      <c r="O174" s="417"/>
      <c r="P174" s="417"/>
      <c r="Q174" s="781"/>
      <c r="R174" s="779" t="s">
        <v>633</v>
      </c>
      <c r="S174" s="779" t="s">
        <v>633</v>
      </c>
      <c r="T174" s="779" t="s">
        <v>633</v>
      </c>
    </row>
    <row r="175" spans="1:20" hidden="1" x14ac:dyDescent="0.35">
      <c r="A175" s="269"/>
      <c r="B175" s="216" t="s">
        <v>324</v>
      </c>
      <c r="C175" s="254"/>
      <c r="D175" s="512">
        <v>1300.9796274750001</v>
      </c>
      <c r="E175" s="544"/>
      <c r="F175" s="628">
        <v>1478.3760055589814</v>
      </c>
      <c r="G175" s="390">
        <f>+F175*(1+'Unit tariffs'!$F$2)</f>
        <v>1562.6434378758433</v>
      </c>
      <c r="H175" s="228">
        <f t="shared" ref="H175" si="36">(G175-F175)/F175</f>
        <v>5.6999999999999981E-2</v>
      </c>
      <c r="I175" s="229">
        <f t="shared" si="33"/>
        <v>234.39651568137648</v>
      </c>
      <c r="J175" s="574">
        <f t="shared" si="34"/>
        <v>1797.0399535572199</v>
      </c>
      <c r="K175" s="351">
        <v>9100033030416</v>
      </c>
      <c r="M175" s="417">
        <f t="shared" si="35"/>
        <v>1797.0399535572199</v>
      </c>
      <c r="N175" s="417">
        <f>+$M175*(1+'Unit tariffs'!$F$2)</f>
        <v>1899.4712309099814</v>
      </c>
      <c r="O175" s="417">
        <f>+$N175*(1+'Unit tariffs'!$F$2)</f>
        <v>2007.7410910718502</v>
      </c>
      <c r="P175" s="417">
        <f>+$O175*(1+'Unit tariffs'!$F$2)</f>
        <v>2122.1823332629456</v>
      </c>
      <c r="Q175" s="781">
        <f>+$P175*(1+'Unit tariffs'!$F$2)</f>
        <v>2243.1467262589335</v>
      </c>
      <c r="R175" s="779" t="s">
        <v>633</v>
      </c>
      <c r="S175" s="779" t="s">
        <v>633</v>
      </c>
      <c r="T175" s="779" t="s">
        <v>633</v>
      </c>
    </row>
    <row r="176" spans="1:20" hidden="1" x14ac:dyDescent="0.35">
      <c r="A176" s="269"/>
      <c r="B176" s="216" t="s">
        <v>325</v>
      </c>
      <c r="C176" s="254"/>
      <c r="D176" s="511">
        <f>+D175*1.33</f>
        <v>1730.3029045417502</v>
      </c>
      <c r="E176" s="543"/>
      <c r="F176" s="627">
        <v>0</v>
      </c>
      <c r="G176" s="662" t="s">
        <v>447</v>
      </c>
      <c r="H176" s="510"/>
      <c r="I176" s="229"/>
      <c r="J176" s="578"/>
      <c r="K176" s="352"/>
      <c r="M176" s="417"/>
      <c r="N176" s="417"/>
      <c r="O176" s="417"/>
      <c r="P176" s="417"/>
      <c r="Q176" s="781"/>
      <c r="R176" s="779" t="s">
        <v>633</v>
      </c>
      <c r="S176" s="779" t="s">
        <v>633</v>
      </c>
      <c r="T176" s="779" t="s">
        <v>633</v>
      </c>
    </row>
    <row r="177" spans="1:20" hidden="1" x14ac:dyDescent="0.35">
      <c r="A177" s="269"/>
      <c r="B177" s="216" t="s">
        <v>326</v>
      </c>
      <c r="C177" s="254"/>
      <c r="D177" s="512">
        <v>2710.3752538500003</v>
      </c>
      <c r="E177" s="544"/>
      <c r="F177" s="628">
        <v>3079.9511819639715</v>
      </c>
      <c r="G177" s="390">
        <f>+F177*(1+'Unit tariffs'!$F$2)</f>
        <v>3255.5083993359176</v>
      </c>
      <c r="H177" s="228">
        <f t="shared" ref="H177" si="37">(G177-F177)/F177</f>
        <v>5.6999999999999905E-2</v>
      </c>
      <c r="I177" s="229">
        <f t="shared" si="33"/>
        <v>488.32625990038764</v>
      </c>
      <c r="J177" s="574">
        <f t="shared" si="34"/>
        <v>3743.834659236305</v>
      </c>
      <c r="K177" s="351">
        <v>9100033030416</v>
      </c>
      <c r="M177" s="417">
        <f t="shared" si="35"/>
        <v>3743.834659236305</v>
      </c>
      <c r="N177" s="417">
        <f>+$M177*(1+'Unit tariffs'!$F$2)</f>
        <v>3957.2332348127743</v>
      </c>
      <c r="O177" s="417">
        <f>+$N177*(1+'Unit tariffs'!$F$2)</f>
        <v>4182.795529197102</v>
      </c>
      <c r="P177" s="417">
        <f>+$O177*(1+'Unit tariffs'!$F$2)</f>
        <v>4421.214874361337</v>
      </c>
      <c r="Q177" s="781">
        <f>+$P177*(1+'Unit tariffs'!$F$2)</f>
        <v>4673.2241221999329</v>
      </c>
      <c r="R177" s="779" t="s">
        <v>633</v>
      </c>
      <c r="S177" s="779" t="s">
        <v>633</v>
      </c>
      <c r="T177" s="779" t="s">
        <v>633</v>
      </c>
    </row>
    <row r="178" spans="1:20" hidden="1" x14ac:dyDescent="0.35">
      <c r="A178" s="269"/>
      <c r="B178" s="216" t="s">
        <v>327</v>
      </c>
      <c r="C178" s="254"/>
      <c r="D178" s="511">
        <f>+D177*1.33</f>
        <v>3604.7990876205004</v>
      </c>
      <c r="E178" s="543"/>
      <c r="F178" s="627">
        <v>0</v>
      </c>
      <c r="G178" s="662" t="s">
        <v>447</v>
      </c>
      <c r="H178" s="510"/>
      <c r="I178" s="229"/>
      <c r="J178" s="578"/>
      <c r="K178" s="352"/>
      <c r="M178" s="417"/>
      <c r="N178" s="417"/>
      <c r="O178" s="417"/>
      <c r="P178" s="417"/>
      <c r="Q178" s="781"/>
      <c r="R178" s="779" t="s">
        <v>633</v>
      </c>
      <c r="S178" s="779" t="s">
        <v>633</v>
      </c>
      <c r="T178" s="779" t="s">
        <v>633</v>
      </c>
    </row>
    <row r="179" spans="1:20" hidden="1" x14ac:dyDescent="0.35">
      <c r="A179" s="269"/>
      <c r="B179" s="216"/>
      <c r="C179" s="254"/>
      <c r="D179" s="378"/>
      <c r="E179" s="541"/>
      <c r="F179" s="625"/>
      <c r="G179" s="390"/>
      <c r="H179" s="354"/>
      <c r="I179" s="252"/>
      <c r="J179" s="577"/>
      <c r="K179" s="352"/>
      <c r="M179" s="435"/>
      <c r="N179" s="435"/>
      <c r="O179" s="417"/>
      <c r="P179" s="417"/>
      <c r="Q179" s="781"/>
      <c r="R179" s="779" t="s">
        <v>633</v>
      </c>
      <c r="S179" s="779" t="s">
        <v>633</v>
      </c>
      <c r="T179" s="779" t="s">
        <v>633</v>
      </c>
    </row>
    <row r="180" spans="1:20" hidden="1" x14ac:dyDescent="0.35">
      <c r="A180" s="314" t="s">
        <v>268</v>
      </c>
      <c r="B180" s="315"/>
      <c r="C180" s="312"/>
      <c r="D180" s="316"/>
      <c r="E180" s="545"/>
      <c r="F180" s="629"/>
      <c r="G180" s="313"/>
      <c r="H180" s="355"/>
      <c r="I180" s="312"/>
      <c r="J180" s="579"/>
      <c r="K180" s="353"/>
      <c r="M180" s="437"/>
      <c r="N180" s="437"/>
      <c r="O180" s="417"/>
      <c r="P180" s="417"/>
      <c r="Q180" s="781"/>
      <c r="R180" s="779" t="s">
        <v>633</v>
      </c>
      <c r="S180" s="779" t="s">
        <v>633</v>
      </c>
      <c r="T180" s="779" t="s">
        <v>633</v>
      </c>
    </row>
    <row r="181" spans="1:20" ht="19.5" hidden="1" customHeight="1" x14ac:dyDescent="0.35">
      <c r="A181" s="269"/>
      <c r="B181" s="216" t="s">
        <v>269</v>
      </c>
      <c r="C181" s="254"/>
      <c r="D181" s="259">
        <v>500</v>
      </c>
      <c r="E181" s="542"/>
      <c r="F181" s="626">
        <v>639.6</v>
      </c>
      <c r="G181" s="390">
        <f>+F181*(1+'Unit tariffs'!$F$2)</f>
        <v>676.05719999999997</v>
      </c>
      <c r="H181" s="228">
        <f t="shared" ref="H181:H184" si="38">(G181-F181)/F181</f>
        <v>5.6999999999999912E-2</v>
      </c>
      <c r="I181" s="229">
        <f t="shared" ref="I181:I182" si="39">G181*I$3</f>
        <v>101.40857999999999</v>
      </c>
      <c r="J181" s="574">
        <f>+I181+G181</f>
        <v>777.46578</v>
      </c>
      <c r="K181" s="351">
        <v>9100033030416</v>
      </c>
      <c r="M181" s="417">
        <f>+L181+J181</f>
        <v>777.46578</v>
      </c>
      <c r="N181" s="417">
        <f>+$M181*(1+'Unit tariffs'!$F$2)</f>
        <v>821.78132945999994</v>
      </c>
      <c r="O181" s="417">
        <f>+$N181*(1+'Unit tariffs'!$F$2)</f>
        <v>868.62286523921989</v>
      </c>
      <c r="P181" s="417">
        <f>+$O181*(1+'Unit tariffs'!$F$2)</f>
        <v>918.1343685578554</v>
      </c>
      <c r="Q181" s="781">
        <f>+$P181*(1+'Unit tariffs'!$F$2)</f>
        <v>970.46802756565307</v>
      </c>
      <c r="R181" s="779" t="s">
        <v>633</v>
      </c>
      <c r="S181" s="779" t="s">
        <v>633</v>
      </c>
      <c r="T181" s="779" t="s">
        <v>633</v>
      </c>
    </row>
    <row r="182" spans="1:20" hidden="1" x14ac:dyDescent="0.35">
      <c r="A182" s="269"/>
      <c r="B182" s="216" t="s">
        <v>270</v>
      </c>
      <c r="C182" s="254"/>
      <c r="D182" s="259">
        <v>1500</v>
      </c>
      <c r="E182" s="542"/>
      <c r="F182" s="626">
        <v>1705.6000000000001</v>
      </c>
      <c r="G182" s="390">
        <f>+F182*(1+'Unit tariffs'!$F$2)</f>
        <v>1802.8192000000001</v>
      </c>
      <c r="H182" s="228">
        <f t="shared" si="38"/>
        <v>5.6999999999999995E-2</v>
      </c>
      <c r="I182" s="229">
        <f t="shared" si="39"/>
        <v>270.42288000000002</v>
      </c>
      <c r="J182" s="574">
        <f>+I182+G182</f>
        <v>2073.24208</v>
      </c>
      <c r="K182" s="351">
        <v>9100033030416</v>
      </c>
      <c r="M182" s="417">
        <f>+L182+J182</f>
        <v>2073.24208</v>
      </c>
      <c r="N182" s="417">
        <f>+$M182*(1+'Unit tariffs'!$F$2)</f>
        <v>2191.41687856</v>
      </c>
      <c r="O182" s="417">
        <f>+$N182*(1+'Unit tariffs'!$F$2)</f>
        <v>2316.32764063792</v>
      </c>
      <c r="P182" s="417">
        <f>+$O182*(1+'Unit tariffs'!$F$2)</f>
        <v>2448.3583161542815</v>
      </c>
      <c r="Q182" s="781">
        <f>+$P182*(1+'Unit tariffs'!$F$2)</f>
        <v>2587.9147401750756</v>
      </c>
      <c r="R182" s="779" t="s">
        <v>633</v>
      </c>
      <c r="S182" s="779" t="s">
        <v>633</v>
      </c>
      <c r="T182" s="779" t="s">
        <v>633</v>
      </c>
    </row>
    <row r="183" spans="1:20" hidden="1" x14ac:dyDescent="0.35">
      <c r="A183" s="269"/>
      <c r="B183" s="216" t="s">
        <v>348</v>
      </c>
      <c r="C183" s="254"/>
      <c r="D183" s="259">
        <v>6600</v>
      </c>
      <c r="E183" s="542"/>
      <c r="F183" s="626">
        <v>7568.6</v>
      </c>
      <c r="G183" s="390">
        <f>+F183*(1+'Unit tariffs'!$F$2)</f>
        <v>8000.0101999999997</v>
      </c>
      <c r="H183" s="228">
        <f t="shared" si="38"/>
        <v>5.6999999999999912E-2</v>
      </c>
      <c r="I183" s="229">
        <f t="shared" ref="I183:I184" si="40">G183*I$3</f>
        <v>1200.00153</v>
      </c>
      <c r="J183" s="574">
        <f>+I183+G183</f>
        <v>9200.0117300000002</v>
      </c>
      <c r="K183" s="351">
        <v>9100033030416</v>
      </c>
      <c r="M183" s="417">
        <f>+L183+J183</f>
        <v>9200.0117300000002</v>
      </c>
      <c r="N183" s="417">
        <f>+$M183*(1+'Unit tariffs'!$F$2)</f>
        <v>9724.4123986100003</v>
      </c>
      <c r="O183" s="417">
        <f>+$N183*(1+'Unit tariffs'!$F$2)</f>
        <v>10278.703905330769</v>
      </c>
      <c r="P183" s="417">
        <f>+$O183*(1+'Unit tariffs'!$F$2)</f>
        <v>10864.590027934622</v>
      </c>
      <c r="Q183" s="781">
        <f>+$P183*(1+'Unit tariffs'!$F$2)</f>
        <v>11483.871659526896</v>
      </c>
      <c r="R183" s="779" t="s">
        <v>633</v>
      </c>
      <c r="S183" s="779" t="s">
        <v>633</v>
      </c>
      <c r="T183" s="779" t="s">
        <v>633</v>
      </c>
    </row>
    <row r="184" spans="1:20" hidden="1" x14ac:dyDescent="0.35">
      <c r="A184" s="269"/>
      <c r="B184" s="216" t="s">
        <v>351</v>
      </c>
      <c r="C184" s="254"/>
      <c r="D184" s="259">
        <v>6600</v>
      </c>
      <c r="E184" s="542"/>
      <c r="F184" s="626">
        <v>7568.6</v>
      </c>
      <c r="G184" s="390">
        <f>+F184*(1+'Unit tariffs'!$F$2)</f>
        <v>8000.0101999999997</v>
      </c>
      <c r="H184" s="228">
        <f t="shared" si="38"/>
        <v>5.6999999999999912E-2</v>
      </c>
      <c r="I184" s="229">
        <f t="shared" si="40"/>
        <v>1200.00153</v>
      </c>
      <c r="J184" s="574">
        <f>+I184+G184</f>
        <v>9200.0117300000002</v>
      </c>
      <c r="K184" s="351">
        <v>9100033030416</v>
      </c>
      <c r="M184" s="417">
        <f>+L184+J184</f>
        <v>9200.0117300000002</v>
      </c>
      <c r="N184" s="417">
        <f>+$M184*(1+'Unit tariffs'!$F$2)</f>
        <v>9724.4123986100003</v>
      </c>
      <c r="O184" s="417">
        <f>+$N184*(1+'Unit tariffs'!$F$2)</f>
        <v>10278.703905330769</v>
      </c>
      <c r="P184" s="417">
        <f>+$O184*(1+'Unit tariffs'!$F$2)</f>
        <v>10864.590027934622</v>
      </c>
      <c r="Q184" s="781">
        <f>+$P184*(1+'Unit tariffs'!$F$2)</f>
        <v>11483.871659526896</v>
      </c>
      <c r="R184" s="779" t="s">
        <v>633</v>
      </c>
      <c r="S184" s="779" t="s">
        <v>633</v>
      </c>
      <c r="T184" s="779" t="s">
        <v>633</v>
      </c>
    </row>
    <row r="185" spans="1:20" ht="30" hidden="1" customHeight="1" x14ac:dyDescent="0.35">
      <c r="A185" s="276" t="s">
        <v>276</v>
      </c>
      <c r="B185" s="221"/>
      <c r="C185" s="254"/>
      <c r="D185" s="259"/>
      <c r="E185" s="542"/>
      <c r="F185" s="626"/>
      <c r="G185" s="258"/>
      <c r="H185" s="260"/>
      <c r="I185" s="254"/>
      <c r="J185" s="577"/>
      <c r="K185" s="352"/>
      <c r="M185" s="435"/>
      <c r="N185" s="435"/>
      <c r="O185" s="417"/>
      <c r="P185" s="417"/>
      <c r="Q185" s="781"/>
      <c r="R185" s="779" t="s">
        <v>633</v>
      </c>
      <c r="S185" s="779" t="s">
        <v>633</v>
      </c>
      <c r="T185" s="779" t="s">
        <v>633</v>
      </c>
    </row>
    <row r="186" spans="1:20" ht="18" hidden="1" customHeight="1" x14ac:dyDescent="0.35">
      <c r="A186" s="269"/>
      <c r="B186" s="216" t="s">
        <v>265</v>
      </c>
      <c r="C186" s="254"/>
      <c r="D186" s="259">
        <v>2280</v>
      </c>
      <c r="E186" s="542"/>
      <c r="F186" s="626">
        <v>2665</v>
      </c>
      <c r="G186" s="390">
        <f>+F186*(1+'Unit tariffs'!$F$2)</f>
        <v>2816.9049999999997</v>
      </c>
      <c r="H186" s="228">
        <f t="shared" ref="H186:H188" si="41">(G186-F186)/F186</f>
        <v>5.6999999999999905E-2</v>
      </c>
      <c r="I186" s="229">
        <f t="shared" ref="I186:I188" si="42">G186*I$3</f>
        <v>422.53574999999995</v>
      </c>
      <c r="J186" s="577">
        <f>+G186+I186</f>
        <v>3239.4407499999998</v>
      </c>
      <c r="K186" s="351">
        <v>9100033030416</v>
      </c>
      <c r="M186" s="417">
        <f>+J186+L186</f>
        <v>3239.4407499999998</v>
      </c>
      <c r="N186" s="417">
        <f>+$M186*(1+'Unit tariffs'!$F$2)</f>
        <v>3424.0888727499996</v>
      </c>
      <c r="O186" s="417">
        <f>+$N186*(1+'Unit tariffs'!$F$2)</f>
        <v>3619.2619384967493</v>
      </c>
      <c r="P186" s="417">
        <f>+$O186*(1+'Unit tariffs'!$F$2)</f>
        <v>3825.5598689910639</v>
      </c>
      <c r="Q186" s="781">
        <f>+$P186*(1+'Unit tariffs'!$F$2)</f>
        <v>4043.6167815235544</v>
      </c>
      <c r="R186" s="779" t="s">
        <v>633</v>
      </c>
      <c r="S186" s="779" t="s">
        <v>633</v>
      </c>
      <c r="T186" s="779" t="s">
        <v>633</v>
      </c>
    </row>
    <row r="187" spans="1:20" hidden="1" x14ac:dyDescent="0.35">
      <c r="A187" s="269"/>
      <c r="B187" s="216" t="s">
        <v>266</v>
      </c>
      <c r="C187" s="254"/>
      <c r="D187" s="259">
        <v>11400</v>
      </c>
      <c r="E187" s="542"/>
      <c r="F187" s="626">
        <v>13005.2</v>
      </c>
      <c r="G187" s="390">
        <f>+F187*(1+'Unit tariffs'!$F$2)</f>
        <v>13746.4964</v>
      </c>
      <c r="H187" s="228">
        <f t="shared" si="41"/>
        <v>5.699999999999994E-2</v>
      </c>
      <c r="I187" s="229">
        <f t="shared" si="42"/>
        <v>2061.9744599999999</v>
      </c>
      <c r="J187" s="577">
        <f t="shared" ref="J187:J188" si="43">+G187+I187</f>
        <v>15808.470859999999</v>
      </c>
      <c r="K187" s="351">
        <v>9100033030416</v>
      </c>
      <c r="M187" s="417">
        <f t="shared" ref="M187:M188" si="44">+J187+L187</f>
        <v>15808.470859999999</v>
      </c>
      <c r="N187" s="417">
        <f>+$M187*(1+'Unit tariffs'!$F$2)</f>
        <v>16709.553699019998</v>
      </c>
      <c r="O187" s="417">
        <f>+$N187*(1+'Unit tariffs'!$F$2)</f>
        <v>17661.998259864136</v>
      </c>
      <c r="P187" s="417">
        <f>+$O187*(1+'Unit tariffs'!$F$2)</f>
        <v>18668.732160676391</v>
      </c>
      <c r="Q187" s="781">
        <f>+$P187*(1+'Unit tariffs'!$F$2)</f>
        <v>19732.849893834944</v>
      </c>
      <c r="R187" s="779" t="s">
        <v>633</v>
      </c>
      <c r="S187" s="779" t="s">
        <v>633</v>
      </c>
      <c r="T187" s="779" t="s">
        <v>633</v>
      </c>
    </row>
    <row r="188" spans="1:20" hidden="1" x14ac:dyDescent="0.35">
      <c r="A188" s="269"/>
      <c r="B188" s="216" t="s">
        <v>267</v>
      </c>
      <c r="C188" s="254"/>
      <c r="D188" s="259">
        <v>57000</v>
      </c>
      <c r="E188" s="542"/>
      <c r="F188" s="626">
        <v>65026</v>
      </c>
      <c r="G188" s="390">
        <f>+F188*(1+'Unit tariffs'!$F$2)</f>
        <v>68732.481999999989</v>
      </c>
      <c r="H188" s="228">
        <f t="shared" si="41"/>
        <v>5.6999999999999829E-2</v>
      </c>
      <c r="I188" s="229">
        <f t="shared" si="42"/>
        <v>10309.872299999997</v>
      </c>
      <c r="J188" s="577">
        <f t="shared" si="43"/>
        <v>79042.354299999992</v>
      </c>
      <c r="K188" s="351">
        <v>9100033030416</v>
      </c>
      <c r="M188" s="417">
        <f t="shared" si="44"/>
        <v>79042.354299999992</v>
      </c>
      <c r="N188" s="417">
        <f>+$M188*(1+'Unit tariffs'!$F$2)</f>
        <v>83547.768495099983</v>
      </c>
      <c r="O188" s="417">
        <f>+$N188*(1+'Unit tariffs'!$F$2)</f>
        <v>88309.991299320682</v>
      </c>
      <c r="P188" s="417">
        <f>+$O188*(1+'Unit tariffs'!$F$2)</f>
        <v>93343.66080338195</v>
      </c>
      <c r="Q188" s="781">
        <f>+$P188*(1+'Unit tariffs'!$F$2)</f>
        <v>98664.249469174712</v>
      </c>
      <c r="R188" s="779" t="s">
        <v>633</v>
      </c>
      <c r="S188" s="779" t="s">
        <v>633</v>
      </c>
      <c r="T188" s="779" t="s">
        <v>633</v>
      </c>
    </row>
    <row r="189" spans="1:20" ht="13.25" hidden="1" customHeight="1" x14ac:dyDescent="0.3">
      <c r="A189" s="893" t="s">
        <v>277</v>
      </c>
      <c r="B189" s="894"/>
      <c r="C189" s="895"/>
      <c r="D189" s="254"/>
      <c r="E189" s="254"/>
      <c r="F189" s="254"/>
      <c r="G189" s="254"/>
      <c r="H189" s="228"/>
      <c r="I189" s="254"/>
      <c r="J189" s="580"/>
      <c r="K189" s="352"/>
      <c r="M189" s="435"/>
      <c r="N189" s="435"/>
      <c r="O189" s="435"/>
      <c r="P189" s="435"/>
      <c r="Q189" s="792"/>
      <c r="R189" s="779" t="s">
        <v>633</v>
      </c>
      <c r="S189" s="779" t="s">
        <v>633</v>
      </c>
      <c r="T189" s="779" t="s">
        <v>633</v>
      </c>
    </row>
    <row r="190" spans="1:20" ht="13.25" hidden="1" customHeight="1" x14ac:dyDescent="0.3">
      <c r="A190" s="893" t="s">
        <v>278</v>
      </c>
      <c r="B190" s="894"/>
      <c r="C190" s="895"/>
      <c r="D190" s="254"/>
      <c r="E190" s="254"/>
      <c r="F190" s="254"/>
      <c r="G190" s="254"/>
      <c r="H190" s="260"/>
      <c r="I190" s="254"/>
      <c r="J190" s="580"/>
      <c r="K190" s="352"/>
      <c r="M190" s="435"/>
      <c r="N190" s="435"/>
      <c r="O190" s="435"/>
      <c r="P190" s="435"/>
      <c r="Q190" s="792"/>
      <c r="R190" s="779" t="s">
        <v>633</v>
      </c>
      <c r="S190" s="779" t="s">
        <v>633</v>
      </c>
      <c r="T190" s="779" t="s">
        <v>633</v>
      </c>
    </row>
    <row r="191" spans="1:20" x14ac:dyDescent="0.35">
      <c r="A191" s="269"/>
      <c r="B191" s="221"/>
      <c r="C191" s="222"/>
      <c r="D191" s="217"/>
      <c r="E191" s="217"/>
      <c r="F191" s="217"/>
      <c r="G191" s="217"/>
      <c r="H191" s="219"/>
      <c r="I191" s="216"/>
      <c r="J191" s="581"/>
      <c r="K191" s="270"/>
      <c r="M191" s="415"/>
      <c r="N191" s="415"/>
      <c r="O191" s="415"/>
      <c r="P191" s="415"/>
      <c r="Q191" s="780"/>
      <c r="R191" s="778"/>
      <c r="S191" s="778"/>
      <c r="T191" s="778"/>
    </row>
    <row r="192" spans="1:20" x14ac:dyDescent="0.35">
      <c r="A192" s="276" t="s">
        <v>106</v>
      </c>
      <c r="B192" s="227"/>
      <c r="C192" s="222"/>
      <c r="D192" s="217"/>
      <c r="E192" s="217"/>
      <c r="F192" s="217"/>
      <c r="G192" s="217"/>
      <c r="H192" s="219"/>
      <c r="I192" s="216"/>
      <c r="J192" s="581"/>
      <c r="K192" s="270"/>
      <c r="M192" s="415"/>
      <c r="N192" s="415"/>
      <c r="O192" s="415"/>
      <c r="P192" s="415"/>
      <c r="Q192" s="780"/>
      <c r="R192" s="778"/>
      <c r="S192" s="778"/>
      <c r="T192" s="778"/>
    </row>
    <row r="193" spans="1:20" x14ac:dyDescent="0.35">
      <c r="A193" s="276" t="s">
        <v>130</v>
      </c>
      <c r="B193" s="227"/>
      <c r="C193" s="222"/>
      <c r="D193" s="217"/>
      <c r="E193" s="217"/>
      <c r="F193" s="217"/>
      <c r="G193" s="217"/>
      <c r="H193" s="223"/>
      <c r="I193" s="216"/>
      <c r="J193" s="581"/>
      <c r="K193" s="270"/>
      <c r="M193" s="415"/>
      <c r="N193" s="415"/>
      <c r="O193" s="415"/>
      <c r="P193" s="415"/>
      <c r="Q193" s="780"/>
      <c r="R193" s="778"/>
      <c r="S193" s="778"/>
      <c r="T193" s="778"/>
    </row>
    <row r="194" spans="1:20" ht="19.5" customHeight="1" x14ac:dyDescent="0.35">
      <c r="A194" s="276" t="s">
        <v>107</v>
      </c>
      <c r="B194" s="227"/>
      <c r="C194" s="222"/>
      <c r="D194" s="217"/>
      <c r="E194" s="217"/>
      <c r="F194" s="217"/>
      <c r="G194" s="217"/>
      <c r="H194" s="219"/>
      <c r="I194" s="216"/>
      <c r="J194" s="581"/>
      <c r="K194" s="270"/>
      <c r="M194" s="415"/>
      <c r="N194" s="415"/>
      <c r="O194" s="415"/>
      <c r="P194" s="415"/>
      <c r="Q194" s="780"/>
      <c r="R194" s="778"/>
      <c r="S194" s="778"/>
      <c r="T194" s="778"/>
    </row>
    <row r="195" spans="1:20" ht="18.75" customHeight="1" x14ac:dyDescent="0.35">
      <c r="A195" s="269" t="s">
        <v>110</v>
      </c>
      <c r="B195" s="221"/>
      <c r="C195" s="222"/>
      <c r="D195" s="217"/>
      <c r="E195" s="217"/>
      <c r="F195" s="217"/>
      <c r="G195" s="217"/>
      <c r="H195" s="219"/>
      <c r="I195" s="216"/>
      <c r="J195" s="581"/>
      <c r="K195" s="270"/>
      <c r="M195" s="415"/>
      <c r="N195" s="415"/>
      <c r="O195" s="415"/>
      <c r="P195" s="415"/>
      <c r="Q195" s="780"/>
      <c r="R195" s="778"/>
      <c r="S195" s="778"/>
      <c r="T195" s="778"/>
    </row>
    <row r="196" spans="1:20" x14ac:dyDescent="0.35">
      <c r="A196" s="269"/>
      <c r="B196" s="221"/>
      <c r="C196" s="222"/>
      <c r="D196" s="217"/>
      <c r="E196" s="217"/>
      <c r="F196" s="217"/>
      <c r="G196" s="217"/>
      <c r="H196" s="219"/>
      <c r="I196" s="216"/>
      <c r="J196" s="581"/>
      <c r="K196" s="270"/>
      <c r="M196" s="415"/>
      <c r="N196" s="415"/>
      <c r="O196" s="415"/>
      <c r="P196" s="415"/>
      <c r="Q196" s="780"/>
      <c r="R196" s="778"/>
      <c r="S196" s="778"/>
      <c r="T196" s="778"/>
    </row>
    <row r="197" spans="1:20" x14ac:dyDescent="0.35">
      <c r="A197" s="276" t="s">
        <v>273</v>
      </c>
      <c r="B197" s="221"/>
      <c r="C197" s="222"/>
      <c r="D197" s="217"/>
      <c r="E197" s="217"/>
      <c r="F197" s="217"/>
      <c r="G197" s="217"/>
      <c r="H197" s="219"/>
      <c r="I197" s="216"/>
      <c r="J197" s="581"/>
      <c r="K197" s="270"/>
      <c r="M197" s="415"/>
      <c r="N197" s="415"/>
      <c r="O197" s="415"/>
      <c r="P197" s="415"/>
      <c r="Q197" s="780"/>
      <c r="R197" s="778"/>
      <c r="S197" s="778"/>
      <c r="T197" s="778"/>
    </row>
    <row r="198" spans="1:20" x14ac:dyDescent="0.35">
      <c r="A198" s="276" t="s">
        <v>271</v>
      </c>
      <c r="B198" s="221"/>
      <c r="C198" s="222"/>
      <c r="D198" s="217"/>
      <c r="E198" s="217"/>
      <c r="F198" s="217"/>
      <c r="G198" s="217"/>
      <c r="H198" s="219"/>
      <c r="I198" s="216"/>
      <c r="J198" s="581"/>
      <c r="K198" s="270"/>
      <c r="M198" s="415"/>
      <c r="N198" s="415"/>
      <c r="O198" s="415"/>
      <c r="P198" s="415"/>
      <c r="Q198" s="780"/>
      <c r="R198" s="778"/>
      <c r="S198" s="778"/>
      <c r="T198" s="778"/>
    </row>
    <row r="199" spans="1:20" ht="15" thickBot="1" x14ac:dyDescent="0.4">
      <c r="A199" s="277" t="s">
        <v>272</v>
      </c>
      <c r="B199" s="278"/>
      <c r="C199" s="279"/>
      <c r="D199" s="280"/>
      <c r="E199" s="280"/>
      <c r="F199" s="280"/>
      <c r="G199" s="280"/>
      <c r="H199" s="282"/>
      <c r="I199" s="283"/>
      <c r="J199" s="582"/>
      <c r="K199" s="285"/>
      <c r="L199" s="395"/>
      <c r="M199" s="421"/>
      <c r="N199" s="421"/>
      <c r="O199" s="421"/>
      <c r="P199" s="421"/>
      <c r="Q199" s="787"/>
      <c r="R199" s="778"/>
      <c r="S199" s="778"/>
      <c r="T199" s="778"/>
    </row>
    <row r="200" spans="1:20" x14ac:dyDescent="0.35">
      <c r="F200" s="199"/>
      <c r="G200" s="199"/>
      <c r="J200" s="583"/>
    </row>
    <row r="201" spans="1:20" x14ac:dyDescent="0.35">
      <c r="F201" s="199"/>
      <c r="G201" s="199"/>
      <c r="J201" s="583"/>
    </row>
    <row r="202" spans="1:20" x14ac:dyDescent="0.35">
      <c r="F202" s="199"/>
      <c r="G202" s="199"/>
      <c r="J202" s="583"/>
    </row>
    <row r="203" spans="1:20" x14ac:dyDescent="0.35">
      <c r="J203" s="583"/>
    </row>
    <row r="204" spans="1:20" x14ac:dyDescent="0.35">
      <c r="J204" s="583"/>
    </row>
  </sheetData>
  <mergeCells count="4">
    <mergeCell ref="A189:C189"/>
    <mergeCell ref="A190:C190"/>
    <mergeCell ref="B158:J158"/>
    <mergeCell ref="R1:T4"/>
  </mergeCells>
  <pageMargins left="0.25" right="0.25" top="0.75" bottom="0.75" header="0.3" footer="0.3"/>
  <pageSetup paperSize="8" scale="45" orientation="landscape" r:id="rId1"/>
  <rowBreaks count="5" manualBreakCount="5">
    <brk id="28" max="15" man="1"/>
    <brk id="83" max="15" man="1"/>
    <brk id="91" max="16383" man="1"/>
    <brk id="128" max="16383" man="1"/>
    <brk id="15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1:T199"/>
  <sheetViews>
    <sheetView view="pageBreakPreview" zoomScale="50" zoomScaleNormal="100" zoomScaleSheetLayoutView="50" workbookViewId="0">
      <pane xSplit="2" ySplit="7" topLeftCell="C8" activePane="bottomRight" state="frozen"/>
      <selection pane="topRight" activeCell="C1" sqref="C1"/>
      <selection pane="bottomLeft" activeCell="A8" sqref="A8"/>
      <selection pane="bottomRight" activeCell="G152" sqref="G152:K156"/>
    </sheetView>
  </sheetViews>
  <sheetFormatPr defaultColWidth="8.90625" defaultRowHeight="14.5" x14ac:dyDescent="0.35"/>
  <cols>
    <col min="1" max="1" width="1.6328125" style="2" customWidth="1"/>
    <col min="2" max="2" width="83.36328125" style="195" customWidth="1"/>
    <col min="3" max="3" width="13" style="197" customWidth="1"/>
    <col min="4" max="4" width="23.36328125" style="199" hidden="1" customWidth="1"/>
    <col min="5" max="5" width="21.36328125" style="199" hidden="1" customWidth="1"/>
    <col min="6" max="6" width="25.6328125" style="200" customWidth="1"/>
    <col min="7" max="7" width="25.36328125" style="200" customWidth="1"/>
    <col min="8" max="8" width="13" style="196" customWidth="1"/>
    <col min="9" max="9" width="12" style="2" bestFit="1" customWidth="1"/>
    <col min="10" max="10" width="15.453125" style="584" bestFit="1" customWidth="1"/>
    <col min="11" max="11" width="20.54296875" style="2" customWidth="1"/>
    <col min="12" max="12" width="19" style="2" hidden="1" customWidth="1"/>
    <col min="13" max="17" width="15.453125" style="393" customWidth="1"/>
    <col min="18" max="18" width="14.453125" style="600" customWidth="1"/>
    <col min="19" max="20" width="8.90625" style="600"/>
    <col min="21" max="16384" width="8.90625" style="2"/>
  </cols>
  <sheetData>
    <row r="1" spans="1:20" ht="15.5" x14ac:dyDescent="0.35">
      <c r="A1" s="261"/>
      <c r="B1" s="262" t="s">
        <v>449</v>
      </c>
      <c r="C1" s="263"/>
      <c r="D1" s="264"/>
      <c r="E1" s="515" t="s">
        <v>369</v>
      </c>
      <c r="F1" s="606"/>
      <c r="G1" s="267"/>
      <c r="H1" s="265"/>
      <c r="I1" s="266"/>
      <c r="J1" s="559"/>
      <c r="K1" s="268"/>
      <c r="L1" s="394"/>
      <c r="M1" s="407"/>
      <c r="N1" s="407"/>
      <c r="O1" s="407"/>
      <c r="P1" s="407"/>
      <c r="Q1" s="407"/>
      <c r="R1" s="983" t="s">
        <v>622</v>
      </c>
      <c r="S1" s="983"/>
      <c r="T1" s="983"/>
    </row>
    <row r="2" spans="1:20" ht="14.4" customHeight="1" x14ac:dyDescent="0.35">
      <c r="A2" s="269"/>
      <c r="B2" s="221" t="s">
        <v>1</v>
      </c>
      <c r="C2" s="222"/>
      <c r="D2" s="328" t="s">
        <v>317</v>
      </c>
      <c r="E2" s="516" t="s">
        <v>74</v>
      </c>
      <c r="F2" s="665" t="s">
        <v>74</v>
      </c>
      <c r="G2" s="224" t="s">
        <v>74</v>
      </c>
      <c r="H2" s="327" t="s">
        <v>85</v>
      </c>
      <c r="I2" s="52" t="s">
        <v>441</v>
      </c>
      <c r="J2" s="224" t="s">
        <v>138</v>
      </c>
      <c r="K2" s="325" t="s">
        <v>75</v>
      </c>
      <c r="M2" s="667" t="s">
        <v>138</v>
      </c>
      <c r="N2" s="667" t="s">
        <v>138</v>
      </c>
      <c r="O2" s="667" t="s">
        <v>138</v>
      </c>
      <c r="P2" s="667" t="s">
        <v>138</v>
      </c>
      <c r="Q2" s="667" t="s">
        <v>138</v>
      </c>
      <c r="R2" s="983"/>
      <c r="S2" s="983"/>
      <c r="T2" s="983"/>
    </row>
    <row r="3" spans="1:20" x14ac:dyDescent="0.35">
      <c r="A3" s="269"/>
      <c r="B3" s="307" t="s">
        <v>330</v>
      </c>
      <c r="C3" s="226"/>
      <c r="D3" s="328" t="s">
        <v>318</v>
      </c>
      <c r="E3" s="516" t="s">
        <v>318</v>
      </c>
      <c r="F3" s="665" t="s">
        <v>318</v>
      </c>
      <c r="G3" s="224" t="s">
        <v>318</v>
      </c>
      <c r="H3" s="327" t="s">
        <v>86</v>
      </c>
      <c r="I3" s="643">
        <f>+'Unit tariffs'!F$3</f>
        <v>0.15</v>
      </c>
      <c r="J3" s="224" t="s">
        <v>139</v>
      </c>
      <c r="K3" s="325" t="s">
        <v>78</v>
      </c>
      <c r="M3" s="667" t="s">
        <v>139</v>
      </c>
      <c r="N3" s="667" t="s">
        <v>139</v>
      </c>
      <c r="O3" s="667" t="s">
        <v>139</v>
      </c>
      <c r="P3" s="667" t="s">
        <v>139</v>
      </c>
      <c r="Q3" s="667" t="s">
        <v>139</v>
      </c>
      <c r="R3" s="983"/>
      <c r="S3" s="983"/>
      <c r="T3" s="983"/>
    </row>
    <row r="4" spans="1:20" x14ac:dyDescent="0.35">
      <c r="A4" s="269"/>
      <c r="B4" s="221" t="s">
        <v>1</v>
      </c>
      <c r="C4" s="226" t="s">
        <v>328</v>
      </c>
      <c r="D4" s="328" t="s">
        <v>279</v>
      </c>
      <c r="E4" s="516" t="str">
        <f>'Calc Sheet 23_24'!H11</f>
        <v>2025/2026</v>
      </c>
      <c r="F4" s="665" t="str">
        <f>'Calc Sheet 23_24'!$H$11</f>
        <v>2025/2026</v>
      </c>
      <c r="G4" s="224" t="str">
        <f>'Calc Sheet 23_24'!$I$11</f>
        <v>2026/2027</v>
      </c>
      <c r="H4" s="327" t="str">
        <f>G4</f>
        <v>2026/2027</v>
      </c>
      <c r="I4" s="52" t="str">
        <f>G4</f>
        <v>2026/2027</v>
      </c>
      <c r="J4" s="224" t="str">
        <f>I4</f>
        <v>2026/2027</v>
      </c>
      <c r="K4" s="325" t="s">
        <v>79</v>
      </c>
      <c r="M4" s="667" t="s">
        <v>451</v>
      </c>
      <c r="N4" s="667" t="s">
        <v>578</v>
      </c>
      <c r="O4" s="667" t="s">
        <v>579</v>
      </c>
      <c r="P4" s="667" t="s">
        <v>580</v>
      </c>
      <c r="Q4" s="667" t="s">
        <v>620</v>
      </c>
      <c r="R4" s="983"/>
      <c r="S4" s="983"/>
      <c r="T4" s="983"/>
    </row>
    <row r="5" spans="1:20" ht="15" thickBot="1" x14ac:dyDescent="0.4">
      <c r="A5" s="293"/>
      <c r="B5" s="309" t="s">
        <v>1</v>
      </c>
      <c r="C5" s="295" t="s">
        <v>329</v>
      </c>
      <c r="D5" s="331" t="s">
        <v>80</v>
      </c>
      <c r="E5" s="517" t="s">
        <v>80</v>
      </c>
      <c r="F5" s="665" t="s">
        <v>80</v>
      </c>
      <c r="G5" s="334" t="s">
        <v>80</v>
      </c>
      <c r="H5" s="332"/>
      <c r="I5" s="333"/>
      <c r="J5" s="334"/>
      <c r="K5" s="335"/>
      <c r="M5" s="411"/>
      <c r="N5" s="411"/>
      <c r="O5" s="411"/>
      <c r="P5" s="411"/>
      <c r="Q5" s="411"/>
      <c r="R5" s="795" t="s">
        <v>630</v>
      </c>
      <c r="S5" s="795" t="s">
        <v>631</v>
      </c>
      <c r="T5" s="795" t="s">
        <v>632</v>
      </c>
    </row>
    <row r="6" spans="1:20" ht="15" thickTop="1" x14ac:dyDescent="0.35">
      <c r="A6" s="286"/>
      <c r="B6" s="315"/>
      <c r="C6" s="329"/>
      <c r="D6" s="305"/>
      <c r="E6" s="518"/>
      <c r="F6" s="606"/>
      <c r="G6" s="292"/>
      <c r="H6" s="290"/>
      <c r="I6" s="291"/>
      <c r="J6" s="560"/>
      <c r="K6" s="310"/>
      <c r="M6" s="413"/>
      <c r="N6" s="413"/>
      <c r="O6" s="413"/>
      <c r="P6" s="413"/>
      <c r="Q6" s="413"/>
      <c r="R6" s="704"/>
      <c r="S6" s="704"/>
      <c r="T6" s="704"/>
    </row>
    <row r="7" spans="1:20" ht="24" customHeight="1" x14ac:dyDescent="0.35">
      <c r="A7" s="269"/>
      <c r="B7" s="226" t="s">
        <v>104</v>
      </c>
      <c r="C7" s="226"/>
      <c r="D7" s="377"/>
      <c r="E7" s="519"/>
      <c r="F7" s="606"/>
      <c r="G7" s="220"/>
      <c r="H7" s="219"/>
      <c r="I7" s="216"/>
      <c r="J7" s="561"/>
      <c r="K7" s="270"/>
      <c r="M7" s="415"/>
      <c r="N7" s="415"/>
      <c r="O7" s="415"/>
      <c r="P7" s="415"/>
      <c r="Q7" s="415"/>
      <c r="R7" s="704"/>
      <c r="S7" s="704"/>
      <c r="T7" s="704"/>
    </row>
    <row r="8" spans="1:20" x14ac:dyDescent="0.35">
      <c r="A8" s="269"/>
      <c r="B8" s="227" t="str">
        <f>'Calc Sheet 23_24'!B5</f>
        <v>1. NEW SINGLE PHASE CONNECTIONS: URBAN</v>
      </c>
      <c r="C8" s="226"/>
      <c r="D8" s="218"/>
      <c r="E8" s="520"/>
      <c r="F8" s="606"/>
      <c r="G8" s="220"/>
      <c r="H8" s="219"/>
      <c r="I8" s="216"/>
      <c r="J8" s="561"/>
      <c r="K8" s="270"/>
      <c r="M8" s="415"/>
      <c r="N8" s="415"/>
      <c r="O8" s="415"/>
      <c r="P8" s="415"/>
      <c r="Q8" s="415"/>
      <c r="R8" s="704"/>
      <c r="S8" s="704"/>
      <c r="T8" s="704"/>
    </row>
    <row r="9" spans="1:20" x14ac:dyDescent="0.35">
      <c r="A9" s="269"/>
      <c r="B9" s="227"/>
      <c r="C9" s="226"/>
      <c r="D9" s="218"/>
      <c r="E9" s="520"/>
      <c r="F9" s="606"/>
      <c r="G9" s="220"/>
      <c r="H9" s="219"/>
      <c r="I9" s="216"/>
      <c r="J9" s="561"/>
      <c r="K9" s="270"/>
      <c r="M9" s="415"/>
      <c r="N9" s="415"/>
      <c r="O9" s="415"/>
      <c r="P9" s="415"/>
      <c r="Q9" s="415"/>
      <c r="R9" s="704"/>
      <c r="S9" s="704"/>
      <c r="T9" s="704"/>
    </row>
    <row r="10" spans="1:20" ht="26" x14ac:dyDescent="0.35">
      <c r="A10" s="269"/>
      <c r="B10" s="221" t="str">
        <f>'Calc Sheet 23_24'!B7</f>
        <v xml:space="preserve">1.1  Single phase overhead connection with Split Pre-payment meter taken from overhead network   - No Ready board   </v>
      </c>
      <c r="C10" s="222" t="s">
        <v>240</v>
      </c>
      <c r="D10" s="201">
        <f>'Calc Sheet 23_24'!H37</f>
        <v>7150</v>
      </c>
      <c r="E10" s="521">
        <v>6225</v>
      </c>
      <c r="F10" s="606">
        <f>'Calc Sheet 23_24'!H37</f>
        <v>7150</v>
      </c>
      <c r="G10" s="379">
        <f>'Calc Sheet 23_24'!I37</f>
        <v>7330</v>
      </c>
      <c r="H10" s="228">
        <f>(G10-F10)/F10</f>
        <v>2.5174825174825177E-2</v>
      </c>
      <c r="I10" s="229">
        <f>G10*I$3</f>
        <v>1099.5</v>
      </c>
      <c r="J10" s="562">
        <f>G10+I10</f>
        <v>8429.5</v>
      </c>
      <c r="K10" s="271">
        <v>9100033030416</v>
      </c>
      <c r="M10" s="417">
        <f>J10+L10</f>
        <v>8429.5</v>
      </c>
      <c r="N10" s="417">
        <f>+$M10*(1+'Unit tariffs'!$F$2)</f>
        <v>8909.9814999999999</v>
      </c>
      <c r="O10" s="417">
        <f>+$N10*(1+'Unit tariffs'!$F$2)</f>
        <v>9417.8504455000002</v>
      </c>
      <c r="P10" s="417">
        <f>+$O10*(1+'Unit tariffs'!$F$2)</f>
        <v>9954.6679208935002</v>
      </c>
      <c r="Q10" s="417">
        <f>+$P10*(1+'Unit tariffs'!$F$2)</f>
        <v>10522.083992384429</v>
      </c>
      <c r="R10" s="795" t="s">
        <v>633</v>
      </c>
      <c r="S10" s="795" t="s">
        <v>633</v>
      </c>
      <c r="T10" s="795" t="s">
        <v>633</v>
      </c>
    </row>
    <row r="11" spans="1:20" x14ac:dyDescent="0.35">
      <c r="A11" s="269"/>
      <c r="B11" s="221"/>
      <c r="C11" s="222"/>
      <c r="D11" s="201"/>
      <c r="E11" s="521"/>
      <c r="F11" s="606"/>
      <c r="G11" s="379"/>
      <c r="H11" s="228"/>
      <c r="I11" s="228"/>
      <c r="J11" s="563"/>
      <c r="K11" s="272"/>
      <c r="M11" s="419"/>
      <c r="N11" s="419"/>
      <c r="O11" s="419"/>
      <c r="P11" s="419"/>
      <c r="Q11" s="417"/>
      <c r="R11" s="795"/>
      <c r="S11" s="795"/>
      <c r="T11" s="795"/>
    </row>
    <row r="12" spans="1:20" ht="26" x14ac:dyDescent="0.35">
      <c r="A12" s="269"/>
      <c r="B12" s="221" t="str">
        <f>'Calc Sheet 23_24'!B50</f>
        <v xml:space="preserve">1.2  Single phase overhead connection with Split Pre-payment meter taken from overhead network   - With Ready board   </v>
      </c>
      <c r="C12" s="222" t="s">
        <v>240</v>
      </c>
      <c r="D12" s="201">
        <f>'Calc Sheet 23_24'!H82</f>
        <v>9280</v>
      </c>
      <c r="E12" s="521">
        <v>1400</v>
      </c>
      <c r="F12" s="606">
        <f>'Calc Sheet 23_24'!H82</f>
        <v>9280</v>
      </c>
      <c r="G12" s="379">
        <f>'Calc Sheet 23_24'!I82</f>
        <v>8710</v>
      </c>
      <c r="H12" s="228">
        <f>(G12-F12)/F12</f>
        <v>-6.1422413793103446E-2</v>
      </c>
      <c r="I12" s="229">
        <f>G12*I$3</f>
        <v>1306.5</v>
      </c>
      <c r="J12" s="562">
        <f>G12+I12</f>
        <v>10016.5</v>
      </c>
      <c r="K12" s="271">
        <v>9100033030416</v>
      </c>
      <c r="M12" s="417">
        <f>J12+L12</f>
        <v>10016.5</v>
      </c>
      <c r="N12" s="417">
        <f>+$M12*(1+'Unit tariffs'!$F$2)</f>
        <v>10587.440499999999</v>
      </c>
      <c r="O12" s="417">
        <f>+$N12*(1+'Unit tariffs'!$F$2)</f>
        <v>11190.924608499998</v>
      </c>
      <c r="P12" s="417">
        <f>+$O12*(1+'Unit tariffs'!$F$2)</f>
        <v>11828.807311184497</v>
      </c>
      <c r="Q12" s="417">
        <f>+$P12*(1+'Unit tariffs'!$F$2)</f>
        <v>12503.049327922012</v>
      </c>
      <c r="R12" s="795" t="s">
        <v>633</v>
      </c>
      <c r="S12" s="795" t="s">
        <v>633</v>
      </c>
      <c r="T12" s="795" t="s">
        <v>633</v>
      </c>
    </row>
    <row r="13" spans="1:20" x14ac:dyDescent="0.35">
      <c r="A13" s="269"/>
      <c r="B13" s="221"/>
      <c r="C13" s="222"/>
      <c r="D13" s="201"/>
      <c r="E13" s="521"/>
      <c r="F13" s="606"/>
      <c r="G13" s="379"/>
      <c r="H13" s="228"/>
      <c r="I13" s="229"/>
      <c r="J13" s="562"/>
      <c r="K13" s="271"/>
      <c r="M13" s="419"/>
      <c r="N13" s="417"/>
      <c r="O13" s="417"/>
      <c r="P13" s="417"/>
      <c r="Q13" s="417"/>
      <c r="R13" s="795"/>
      <c r="S13" s="795"/>
      <c r="T13" s="795"/>
    </row>
    <row r="14" spans="1:20" ht="26" x14ac:dyDescent="0.35">
      <c r="A14" s="269"/>
      <c r="B14" s="221" t="str">
        <f>+'Calc Sheet 23_24'!B86</f>
        <v xml:space="preserve">1.3  Single phase underground/ovehead connection with Split Pre-payment meter taken from underground/overhead network (Flisp Housing)  - With Ready board   </v>
      </c>
      <c r="C14" s="677" t="s">
        <v>295</v>
      </c>
      <c r="D14" s="201"/>
      <c r="E14" s="521"/>
      <c r="F14" s="606">
        <f>+'Calc Sheet 23_24'!H115</f>
        <v>9900</v>
      </c>
      <c r="G14" s="379">
        <f>+'Calc Sheet 23_24'!I115</f>
        <v>23710</v>
      </c>
      <c r="H14" s="228">
        <f>(G14-F14)/F14</f>
        <v>1.3949494949494949</v>
      </c>
      <c r="I14" s="229">
        <f>G14*I$3</f>
        <v>3556.5</v>
      </c>
      <c r="J14" s="562">
        <f>G14+I14</f>
        <v>27266.5</v>
      </c>
      <c r="K14" s="271">
        <v>9100033030416</v>
      </c>
      <c r="M14" s="417">
        <f>J14+L14</f>
        <v>27266.5</v>
      </c>
      <c r="N14" s="417">
        <f>+$M14*(1+'Unit tariffs'!$F$2)</f>
        <v>28820.690499999997</v>
      </c>
      <c r="O14" s="417">
        <f>+$N14*(1+'Unit tariffs'!$F$2)</f>
        <v>30463.469858499993</v>
      </c>
      <c r="P14" s="417">
        <f>+$O14*(1+'Unit tariffs'!$F$2)</f>
        <v>32199.887640434492</v>
      </c>
      <c r="Q14" s="417">
        <f>+$P14*(1+'Unit tariffs'!$F$2)</f>
        <v>34035.281235939256</v>
      </c>
      <c r="R14" s="795" t="s">
        <v>633</v>
      </c>
      <c r="S14" s="795" t="s">
        <v>633</v>
      </c>
      <c r="T14" s="795" t="s">
        <v>633</v>
      </c>
    </row>
    <row r="15" spans="1:20" x14ac:dyDescent="0.35">
      <c r="A15" s="269"/>
      <c r="B15" s="231"/>
      <c r="C15" s="232"/>
      <c r="D15" s="201"/>
      <c r="E15" s="521"/>
      <c r="F15" s="606"/>
      <c r="G15" s="379"/>
      <c r="H15" s="228"/>
      <c r="I15" s="228"/>
      <c r="J15" s="563"/>
      <c r="K15" s="272"/>
      <c r="M15" s="419"/>
      <c r="N15" s="419"/>
      <c r="O15" s="419"/>
      <c r="P15" s="419"/>
      <c r="Q15" s="417"/>
      <c r="R15" s="795"/>
      <c r="S15" s="795"/>
      <c r="T15" s="795"/>
    </row>
    <row r="16" spans="1:20" ht="26" x14ac:dyDescent="0.35">
      <c r="A16" s="269"/>
      <c r="B16" s="221" t="str">
        <f>'Calc Sheet 23_24'!B119</f>
        <v>1.4  New connection (Permanent) for Church/ Creche with NPO certificate &amp; Proof of Title deeds paper registered with Church/Creche:  Single phase Split Prepaid  meter</v>
      </c>
      <c r="C16" s="222" t="s">
        <v>240</v>
      </c>
      <c r="D16" s="201">
        <f>'Calc Sheet 23_24'!H148</f>
        <v>13800</v>
      </c>
      <c r="E16" s="521">
        <v>1000</v>
      </c>
      <c r="F16" s="606">
        <f>'Calc Sheet 23_24'!H148</f>
        <v>13800</v>
      </c>
      <c r="G16" s="379">
        <f>'Calc Sheet 23_24'!I148</f>
        <v>31730</v>
      </c>
      <c r="H16" s="228">
        <f>(G16-F16)/F16</f>
        <v>1.2992753623188407</v>
      </c>
      <c r="I16" s="229">
        <f>G16*I$3</f>
        <v>4759.5</v>
      </c>
      <c r="J16" s="562">
        <f>G16+I16</f>
        <v>36489.5</v>
      </c>
      <c r="K16" s="271">
        <v>9100033030416</v>
      </c>
      <c r="M16" s="417">
        <f>J16+L16</f>
        <v>36489.5</v>
      </c>
      <c r="N16" s="417">
        <f>+$M16*(1+'Unit tariffs'!$F$2)</f>
        <v>38569.4015</v>
      </c>
      <c r="O16" s="417">
        <f>+$N16*(1+'Unit tariffs'!$F$2)</f>
        <v>40767.8573855</v>
      </c>
      <c r="P16" s="417">
        <f>+$O16*(1+'Unit tariffs'!$F$2)</f>
        <v>43091.625256473497</v>
      </c>
      <c r="Q16" s="417">
        <f>+$P16*(1+'Unit tariffs'!$F$2)</f>
        <v>45547.847896092484</v>
      </c>
      <c r="R16" s="795" t="s">
        <v>633</v>
      </c>
      <c r="S16" s="795" t="s">
        <v>633</v>
      </c>
      <c r="T16" s="795" t="s">
        <v>633</v>
      </c>
    </row>
    <row r="17" spans="1:20" ht="19.5" customHeight="1" x14ac:dyDescent="0.35">
      <c r="A17" s="269"/>
      <c r="B17" s="221"/>
      <c r="C17" s="222"/>
      <c r="D17" s="201"/>
      <c r="E17" s="521"/>
      <c r="F17" s="606"/>
      <c r="G17" s="379"/>
      <c r="H17" s="228"/>
      <c r="I17" s="229"/>
      <c r="J17" s="562"/>
      <c r="K17" s="271"/>
      <c r="M17" s="417"/>
      <c r="N17" s="417"/>
      <c r="O17" s="417"/>
      <c r="P17" s="417"/>
      <c r="Q17" s="417"/>
      <c r="R17" s="795"/>
      <c r="S17" s="795"/>
      <c r="T17" s="795"/>
    </row>
    <row r="18" spans="1:20" ht="32.4" customHeight="1" x14ac:dyDescent="0.35">
      <c r="A18" s="269"/>
      <c r="B18" s="233" t="str">
        <f>+'Calc Sheet 23_24'!B155</f>
        <v>1.5  Single phase domestic connection in meter box placed on stand boundary taken from underground cable network (connection to an erf, where the development costs has been paid) -</v>
      </c>
      <c r="C18" s="222" t="s">
        <v>240</v>
      </c>
      <c r="D18" s="201"/>
      <c r="E18" s="520"/>
      <c r="F18" s="606"/>
      <c r="G18" s="379"/>
      <c r="H18" s="228"/>
      <c r="I18" s="229"/>
      <c r="J18" s="562"/>
      <c r="K18" s="271"/>
      <c r="M18" s="417"/>
      <c r="N18" s="417"/>
      <c r="O18" s="417"/>
      <c r="P18" s="417"/>
      <c r="Q18" s="417"/>
      <c r="R18" s="795"/>
      <c r="S18" s="795"/>
      <c r="T18" s="795"/>
    </row>
    <row r="19" spans="1:20" ht="32.4" customHeight="1" x14ac:dyDescent="0.35">
      <c r="A19" s="269"/>
      <c r="B19" s="233" t="str">
        <f>+'Calc Sheet 23_24'!B157:G157</f>
        <v xml:space="preserve">    1.5.1 Connection in meter box, Single Phase Time of Use kWh meter</v>
      </c>
      <c r="C19" s="222" t="s">
        <v>240</v>
      </c>
      <c r="D19" s="201">
        <v>1620</v>
      </c>
      <c r="E19" s="521">
        <v>2230</v>
      </c>
      <c r="F19" s="606">
        <f>+'Calc Sheet 23_24'!H184</f>
        <v>8580</v>
      </c>
      <c r="G19" s="379">
        <f>+'Calc Sheet 23_24'!I184</f>
        <v>8510</v>
      </c>
      <c r="H19" s="228">
        <f>(G19-F19)/F19</f>
        <v>-8.1585081585081581E-3</v>
      </c>
      <c r="I19" s="229">
        <f>G19*I$3</f>
        <v>1276.5</v>
      </c>
      <c r="J19" s="562">
        <f t="shared" ref="J19:J20" si="0">G19+I19</f>
        <v>9786.5</v>
      </c>
      <c r="K19" s="271">
        <v>9100033030416</v>
      </c>
      <c r="M19" s="417">
        <f>J19+L19</f>
        <v>9786.5</v>
      </c>
      <c r="N19" s="417">
        <f>+$M19*(1+'Unit tariffs'!$F$2)</f>
        <v>10344.3305</v>
      </c>
      <c r="O19" s="417">
        <f>+$N19*(1+'Unit tariffs'!$F$2)</f>
        <v>10933.957338499999</v>
      </c>
      <c r="P19" s="417">
        <f>+$O19*(1+'Unit tariffs'!$F$2)</f>
        <v>11557.192906794498</v>
      </c>
      <c r="Q19" s="417">
        <f>+$P19*(1+'Unit tariffs'!$F$2)</f>
        <v>12215.952902481784</v>
      </c>
      <c r="R19" s="795" t="s">
        <v>633</v>
      </c>
      <c r="S19" s="795" t="s">
        <v>633</v>
      </c>
      <c r="T19" s="795" t="s">
        <v>633</v>
      </c>
    </row>
    <row r="20" spans="1:20" ht="32.4" customHeight="1" x14ac:dyDescent="0.35">
      <c r="A20" s="269"/>
      <c r="B20" s="233" t="str">
        <f>+'Calc Sheet 23_24'!B191:G191</f>
        <v xml:space="preserve">    1.5.2 Connection in meter box, Single phase Split pre-payment meter</v>
      </c>
      <c r="C20" s="222" t="s">
        <v>240</v>
      </c>
      <c r="D20" s="201">
        <v>3180</v>
      </c>
      <c r="E20" s="521">
        <v>4340</v>
      </c>
      <c r="F20" s="606">
        <f>+'Calc Sheet 23_24'!H215</f>
        <v>4980</v>
      </c>
      <c r="G20" s="379">
        <f>+'Calc Sheet 23_24'!I215</f>
        <v>4930</v>
      </c>
      <c r="H20" s="228">
        <f>(G20-F20)/F20</f>
        <v>-1.0040160642570281E-2</v>
      </c>
      <c r="I20" s="229">
        <f>G20*I$3</f>
        <v>739.5</v>
      </c>
      <c r="J20" s="562">
        <f t="shared" si="0"/>
        <v>5669.5</v>
      </c>
      <c r="K20" s="271">
        <v>9100033030416</v>
      </c>
      <c r="M20" s="417">
        <f>J20+L20</f>
        <v>5669.5</v>
      </c>
      <c r="N20" s="417">
        <f>+$M20*(1+'Unit tariffs'!$F$2)</f>
        <v>5992.6614999999993</v>
      </c>
      <c r="O20" s="417">
        <f>+$N20*(1+'Unit tariffs'!$F$2)</f>
        <v>6334.243205499999</v>
      </c>
      <c r="P20" s="417">
        <f>+$O20*(1+'Unit tariffs'!$F$2)</f>
        <v>6695.2950682134988</v>
      </c>
      <c r="Q20" s="417">
        <f>+$P20*(1+'Unit tariffs'!$F$2)</f>
        <v>7076.9268871016675</v>
      </c>
      <c r="R20" s="795" t="s">
        <v>633</v>
      </c>
      <c r="S20" s="795" t="s">
        <v>633</v>
      </c>
      <c r="T20" s="795" t="s">
        <v>633</v>
      </c>
    </row>
    <row r="21" spans="1:20" ht="26" x14ac:dyDescent="0.35">
      <c r="A21" s="269"/>
      <c r="B21" s="234" t="str">
        <f>+'Calc Sheet 23_24'!B221</f>
        <v>1.6 Single phase Pre-payment meters for areas that are fully subsidised. (Grants from different departments, e.g USDG, etc)</v>
      </c>
      <c r="C21" s="222" t="s">
        <v>240</v>
      </c>
      <c r="D21" s="201">
        <f>+'Calc Sheet 23_24'!H245</f>
        <v>820</v>
      </c>
      <c r="E21" s="522">
        <v>370</v>
      </c>
      <c r="F21" s="606">
        <f>+'Calc Sheet 23_24'!H245</f>
        <v>820</v>
      </c>
      <c r="G21" s="379">
        <f>+'Calc Sheet 23_24'!I245</f>
        <v>930</v>
      </c>
      <c r="H21" s="228">
        <f>(G21-F21)/F21</f>
        <v>0.13414634146341464</v>
      </c>
      <c r="I21" s="229">
        <f>G21*I$3</f>
        <v>139.5</v>
      </c>
      <c r="J21" s="562">
        <f>G21+I21</f>
        <v>1069.5</v>
      </c>
      <c r="K21" s="271">
        <v>9100033030416</v>
      </c>
      <c r="M21" s="417">
        <f>J21+L21</f>
        <v>1069.5</v>
      </c>
      <c r="N21" s="417">
        <f>+$M21*(1+'Unit tariffs'!$F$2)</f>
        <v>1130.4614999999999</v>
      </c>
      <c r="O21" s="417">
        <f>+$N21*(1+'Unit tariffs'!$F$2)</f>
        <v>1194.8978054999998</v>
      </c>
      <c r="P21" s="417">
        <f>+$O21*(1+'Unit tariffs'!$F$2)</f>
        <v>1263.0069804134996</v>
      </c>
      <c r="Q21" s="417">
        <f>+$P21*(1+'Unit tariffs'!$F$2)</f>
        <v>1334.9983782970689</v>
      </c>
      <c r="R21" s="795" t="s">
        <v>633</v>
      </c>
      <c r="S21" s="795" t="s">
        <v>633</v>
      </c>
      <c r="T21" s="795" t="s">
        <v>633</v>
      </c>
    </row>
    <row r="22" spans="1:20" ht="20.25" customHeight="1" x14ac:dyDescent="0.35">
      <c r="A22" s="269"/>
      <c r="B22" s="221" t="str">
        <f>+'Calc Sheet 23_24'!B252</f>
        <v xml:space="preserve">1.7  Subdivision  (Domestic) -  Urban area: </v>
      </c>
      <c r="C22" s="222"/>
      <c r="D22" s="201"/>
      <c r="E22" s="521"/>
      <c r="F22" s="606"/>
      <c r="G22" s="379"/>
      <c r="H22" s="228"/>
      <c r="I22" s="229"/>
      <c r="J22" s="562"/>
      <c r="K22" s="271"/>
      <c r="M22" s="417"/>
      <c r="N22" s="417"/>
      <c r="O22" s="417"/>
      <c r="P22" s="417"/>
      <c r="Q22" s="417"/>
      <c r="R22" s="795"/>
      <c r="S22" s="795"/>
      <c r="T22" s="795"/>
    </row>
    <row r="23" spans="1:20" ht="30.75" customHeight="1" x14ac:dyDescent="0.35">
      <c r="A23" s="269"/>
      <c r="B23" s="221" t="str">
        <f>+'Calc Sheet 23_24'!B254</f>
        <v xml:space="preserve">    1.7.1 Subdivision Urban Area:  A new Single Phase Split pre-payment meter for domestic connection </v>
      </c>
      <c r="C23" s="222" t="s">
        <v>240</v>
      </c>
      <c r="D23" s="201">
        <f>+'Calc Sheet 23_24'!H283</f>
        <v>19450</v>
      </c>
      <c r="E23" s="521">
        <v>15780</v>
      </c>
      <c r="F23" s="606">
        <f>+'Calc Sheet 23_24'!H283</f>
        <v>19450</v>
      </c>
      <c r="G23" s="379">
        <f>+'Calc Sheet 23_24'!I283</f>
        <v>21290</v>
      </c>
      <c r="H23" s="228">
        <f>(G23-F23)/F23</f>
        <v>9.4601542416452439E-2</v>
      </c>
      <c r="I23" s="229">
        <f>G23*I$3</f>
        <v>3193.5</v>
      </c>
      <c r="J23" s="562">
        <f>G23+I23</f>
        <v>24483.5</v>
      </c>
      <c r="K23" s="273">
        <v>9100033030416</v>
      </c>
      <c r="M23" s="417">
        <f>J23+L23</f>
        <v>24483.5</v>
      </c>
      <c r="N23" s="417">
        <f>+$M23*(1+'Unit tariffs'!$F$2)</f>
        <v>25879.059499999999</v>
      </c>
      <c r="O23" s="417">
        <f>+$N23*(1+'Unit tariffs'!$F$2)</f>
        <v>27354.165891499997</v>
      </c>
      <c r="P23" s="417">
        <f>+$O23*(1+'Unit tariffs'!$F$2)</f>
        <v>28913.353347315497</v>
      </c>
      <c r="Q23" s="417">
        <f>+$P23*(1+'Unit tariffs'!$F$2)</f>
        <v>30561.414488112478</v>
      </c>
      <c r="R23" s="795" t="s">
        <v>633</v>
      </c>
      <c r="S23" s="795" t="s">
        <v>633</v>
      </c>
      <c r="T23" s="795" t="s">
        <v>633</v>
      </c>
    </row>
    <row r="24" spans="1:20" ht="38.5" x14ac:dyDescent="0.35">
      <c r="A24" s="269"/>
      <c r="B24" s="221" t="str">
        <f>+'Calc Sheet 23_24'!B291</f>
        <v>1.8 Additional Meters:  New 1ph  Split pre-paid meter connection- limited up to 500kVA, LV per Erf. Cost estimates will be compiled based on the quantiry of meters required and Network contribution will be levied as per ruling R/kVA.</v>
      </c>
      <c r="C24" s="222" t="s">
        <v>240</v>
      </c>
      <c r="D24" s="235">
        <f>+'Calc Sheet 23_24'!H291</f>
        <v>0</v>
      </c>
      <c r="E24" s="523"/>
      <c r="F24" s="607">
        <f>'Calc Sheet 23_24'!H313</f>
        <v>6178</v>
      </c>
      <c r="G24" s="380">
        <f>'Calc Sheet 23_24'!I313</f>
        <v>4790</v>
      </c>
      <c r="H24" s="228">
        <f>(G24-F24)/F24</f>
        <v>-0.22466817740369052</v>
      </c>
      <c r="I24" s="229">
        <f>G24*I$3</f>
        <v>718.5</v>
      </c>
      <c r="J24" s="562">
        <f>G24+I24</f>
        <v>5508.5</v>
      </c>
      <c r="K24" s="273">
        <v>9100033030417</v>
      </c>
      <c r="M24" s="417">
        <f>J24+L24</f>
        <v>5508.5</v>
      </c>
      <c r="N24" s="417">
        <f>+$M24*(1+'Unit tariffs'!$F$2)</f>
        <v>5822.4844999999996</v>
      </c>
      <c r="O24" s="417">
        <f>+$N24*(1+'Unit tariffs'!$F$2)</f>
        <v>6154.3661164999994</v>
      </c>
      <c r="P24" s="417">
        <f>+$O24*(1+'Unit tariffs'!$F$2)</f>
        <v>6505.1649851404991</v>
      </c>
      <c r="Q24" s="417">
        <f>+$P24*(1+'Unit tariffs'!$F$2)</f>
        <v>6875.9593892935072</v>
      </c>
      <c r="R24" s="795" t="s">
        <v>635</v>
      </c>
      <c r="S24" s="795" t="s">
        <v>633</v>
      </c>
      <c r="T24" s="795" t="s">
        <v>633</v>
      </c>
    </row>
    <row r="25" spans="1:20" x14ac:dyDescent="0.35">
      <c r="A25" s="338"/>
      <c r="B25" s="339"/>
      <c r="C25" s="340"/>
      <c r="D25" s="678"/>
      <c r="E25" s="679"/>
      <c r="F25" s="680"/>
      <c r="G25" s="681"/>
      <c r="H25" s="682"/>
      <c r="I25" s="683"/>
      <c r="J25" s="684"/>
      <c r="K25" s="685"/>
      <c r="M25" s="415"/>
      <c r="N25" s="687"/>
      <c r="O25" s="687"/>
      <c r="P25" s="687"/>
      <c r="Q25" s="417"/>
      <c r="R25" s="795"/>
      <c r="S25" s="795"/>
      <c r="T25" s="795"/>
    </row>
    <row r="26" spans="1:20" ht="15" thickBot="1" x14ac:dyDescent="0.4">
      <c r="A26" s="364"/>
      <c r="B26" s="365"/>
      <c r="C26" s="366"/>
      <c r="D26" s="281"/>
      <c r="E26" s="524"/>
      <c r="F26" s="608"/>
      <c r="G26" s="284"/>
      <c r="H26" s="282"/>
      <c r="I26" s="283"/>
      <c r="J26" s="564"/>
      <c r="K26" s="367"/>
      <c r="L26" s="395"/>
      <c r="M26" s="687"/>
      <c r="N26" s="421"/>
      <c r="O26" s="421"/>
      <c r="P26" s="421"/>
      <c r="Q26" s="417"/>
      <c r="R26" s="795"/>
      <c r="S26" s="795"/>
      <c r="T26" s="795"/>
    </row>
    <row r="27" spans="1:20" ht="15" thickBot="1" x14ac:dyDescent="0.4">
      <c r="A27" s="286"/>
      <c r="B27" s="287" t="str">
        <f>'Calc Sheet 23_24'!B353</f>
        <v>2. NEW THREE PHASE DOMESTIC CONNECTIONS: URBAN</v>
      </c>
      <c r="C27" s="329"/>
      <c r="D27" s="330"/>
      <c r="E27" s="518"/>
      <c r="F27" s="604"/>
      <c r="G27" s="305"/>
      <c r="H27" s="290"/>
      <c r="I27" s="291"/>
      <c r="J27" s="560"/>
      <c r="K27" s="291"/>
      <c r="L27" s="291"/>
      <c r="M27" s="421"/>
      <c r="N27" s="412"/>
      <c r="O27" s="412"/>
      <c r="P27" s="412"/>
      <c r="Q27" s="417"/>
      <c r="R27" s="795"/>
      <c r="S27" s="795"/>
      <c r="T27" s="795"/>
    </row>
    <row r="28" spans="1:20" x14ac:dyDescent="0.35">
      <c r="A28" s="286"/>
      <c r="B28" s="227"/>
      <c r="C28" s="222"/>
      <c r="D28" s="217"/>
      <c r="E28" s="520"/>
      <c r="F28" s="605"/>
      <c r="G28" s="218"/>
      <c r="H28" s="219"/>
      <c r="I28" s="216"/>
      <c r="J28" s="561"/>
      <c r="K28" s="216"/>
      <c r="L28" s="216"/>
      <c r="M28" s="412"/>
      <c r="N28" s="414"/>
      <c r="O28" s="414"/>
      <c r="P28" s="414"/>
      <c r="Q28" s="417"/>
      <c r="R28" s="795"/>
      <c r="S28" s="795"/>
      <c r="T28" s="795"/>
    </row>
    <row r="29" spans="1:20" ht="26.5" x14ac:dyDescent="0.35">
      <c r="A29" s="286"/>
      <c r="B29" s="225" t="str">
        <f>+'Calc Sheet 23_24'!B355</f>
        <v>Three phase connection in meter box placed on stand boundary taken from underground cable network.</v>
      </c>
      <c r="C29" s="288"/>
      <c r="D29" s="289"/>
      <c r="E29" s="525"/>
      <c r="F29" s="609"/>
      <c r="G29" s="382"/>
      <c r="H29" s="290"/>
      <c r="I29" s="291"/>
      <c r="J29" s="560"/>
      <c r="K29" s="310"/>
      <c r="M29" s="414"/>
      <c r="N29" s="413"/>
      <c r="O29" s="413"/>
      <c r="P29" s="413"/>
      <c r="Q29" s="417"/>
      <c r="R29" s="795"/>
      <c r="S29" s="795"/>
      <c r="T29" s="795"/>
    </row>
    <row r="30" spans="1:20" ht="12" customHeight="1" x14ac:dyDescent="0.35">
      <c r="A30" s="269"/>
      <c r="B30" s="221"/>
      <c r="C30" s="222"/>
      <c r="D30" s="236"/>
      <c r="E30" s="526"/>
      <c r="F30" s="610"/>
      <c r="G30" s="383"/>
      <c r="H30" s="237"/>
      <c r="I30" s="238"/>
      <c r="J30" s="565"/>
      <c r="K30" s="274"/>
      <c r="M30" s="413"/>
      <c r="N30" s="415"/>
      <c r="O30" s="415"/>
      <c r="P30" s="415"/>
      <c r="Q30" s="417"/>
      <c r="R30" s="795"/>
      <c r="S30" s="795"/>
      <c r="T30" s="795"/>
    </row>
    <row r="31" spans="1:20" hidden="1" x14ac:dyDescent="0.35">
      <c r="A31" s="269"/>
      <c r="B31" s="221" t="str">
        <f>+'Calc Sheet 23_24'!B357</f>
        <v xml:space="preserve">2.1 Three phase domestic connection (80A) in meter box,  Time of use (TOU) meter    </v>
      </c>
      <c r="C31" s="222" t="s">
        <v>340</v>
      </c>
      <c r="D31" s="201">
        <f>+'Calc Sheet 23_24'!H390</f>
        <v>24470</v>
      </c>
      <c r="E31" s="521">
        <v>18370</v>
      </c>
      <c r="F31" s="606">
        <v>18710</v>
      </c>
      <c r="G31" s="379">
        <f>+'Calc Sheet 23_24'!I390</f>
        <v>15770</v>
      </c>
      <c r="H31" s="228">
        <f>(G31-F31)/F31</f>
        <v>-0.15713522180652056</v>
      </c>
      <c r="I31" s="229">
        <f>G31*I$3</f>
        <v>2365.5</v>
      </c>
      <c r="J31" s="562">
        <f>G31+I31</f>
        <v>18135.5</v>
      </c>
      <c r="K31" s="271">
        <v>9100033030416</v>
      </c>
      <c r="M31" s="415"/>
      <c r="N31" s="417">
        <f>+$M31*(1+'Unit tariffs'!$F$2)</f>
        <v>0</v>
      </c>
      <c r="O31" s="417">
        <f>+$M31*(1+'Unit tariffs'!$F$2)</f>
        <v>0</v>
      </c>
      <c r="P31" s="417">
        <f>+$M31*(1+'Unit tariffs'!$F$2)</f>
        <v>0</v>
      </c>
      <c r="Q31" s="417">
        <f>+$P31*(1+'Unit tariffs'!$F$2)</f>
        <v>0</v>
      </c>
      <c r="R31" s="795"/>
      <c r="S31" s="795"/>
      <c r="T31" s="795"/>
    </row>
    <row r="32" spans="1:20" hidden="1" x14ac:dyDescent="0.35">
      <c r="A32" s="269"/>
      <c r="B32" s="221"/>
      <c r="C32" s="222"/>
      <c r="D32" s="201"/>
      <c r="E32" s="521"/>
      <c r="F32" s="606"/>
      <c r="G32" s="379"/>
      <c r="H32" s="219"/>
      <c r="I32" s="216"/>
      <c r="J32" s="561"/>
      <c r="K32" s="270"/>
      <c r="M32" s="417">
        <f>J32+L32</f>
        <v>0</v>
      </c>
      <c r="N32" s="415"/>
      <c r="O32" s="415"/>
      <c r="P32" s="415"/>
      <c r="Q32" s="417">
        <f>+$P32*(1+'Unit tariffs'!$F$2)</f>
        <v>0</v>
      </c>
      <c r="R32" s="795"/>
      <c r="S32" s="795"/>
      <c r="T32" s="795"/>
    </row>
    <row r="33" spans="1:20" x14ac:dyDescent="0.35">
      <c r="A33" s="269"/>
      <c r="B33" s="221" t="str">
        <f>+'Calc Sheet 23_24'!B398</f>
        <v xml:space="preserve">2.2 Three phase connection (80A) in meter box,  Time of use (TOU) meter                                               </v>
      </c>
      <c r="C33" s="226" t="s">
        <v>341</v>
      </c>
      <c r="D33" s="201">
        <f>+'Calc Sheet 23_24'!H428</f>
        <v>19670</v>
      </c>
      <c r="E33" s="521">
        <v>15725</v>
      </c>
      <c r="F33" s="606">
        <f>+'Calc Sheet 23_24'!H428</f>
        <v>19670</v>
      </c>
      <c r="G33" s="379">
        <f>+'Calc Sheet 23_24'!I428</f>
        <v>11900</v>
      </c>
      <c r="H33" s="228">
        <f>(G33-F33)/F33</f>
        <v>-0.39501779359430605</v>
      </c>
      <c r="I33" s="229">
        <f>G33*I$3</f>
        <v>1785</v>
      </c>
      <c r="J33" s="562">
        <f>G33+I33</f>
        <v>13685</v>
      </c>
      <c r="K33" s="271">
        <v>9100033030416</v>
      </c>
      <c r="M33" s="746">
        <f>J33</f>
        <v>13685</v>
      </c>
      <c r="N33" s="417">
        <f>+$M33*(1+'Unit tariffs'!$F$2)</f>
        <v>14465.045</v>
      </c>
      <c r="O33" s="417">
        <f>+$N33*(1+'Unit tariffs'!$F$2)</f>
        <v>15289.552565</v>
      </c>
      <c r="P33" s="417">
        <f>+$O33*(1+'Unit tariffs'!$F$2)</f>
        <v>16161.057061205</v>
      </c>
      <c r="Q33" s="417">
        <f>+$P33*(1+'Unit tariffs'!$F$2)</f>
        <v>17082.237313693684</v>
      </c>
      <c r="R33" s="795"/>
      <c r="S33" s="795"/>
      <c r="T33" s="795"/>
    </row>
    <row r="34" spans="1:20" x14ac:dyDescent="0.35">
      <c r="A34" s="269"/>
      <c r="B34" s="221"/>
      <c r="C34" s="222" t="s">
        <v>240</v>
      </c>
      <c r="D34" s="236"/>
      <c r="E34" s="526"/>
      <c r="F34" s="606"/>
      <c r="G34" s="383"/>
      <c r="H34" s="237"/>
      <c r="I34" s="238"/>
      <c r="J34" s="565"/>
      <c r="K34" s="274"/>
      <c r="M34" s="417"/>
      <c r="N34" s="415"/>
      <c r="O34" s="415"/>
      <c r="P34" s="415"/>
      <c r="Q34" s="417"/>
      <c r="R34" s="795" t="s">
        <v>633</v>
      </c>
      <c r="S34" s="795" t="s">
        <v>633</v>
      </c>
      <c r="T34" s="795" t="s">
        <v>633</v>
      </c>
    </row>
    <row r="35" spans="1:20" hidden="1" x14ac:dyDescent="0.35">
      <c r="A35" s="269"/>
      <c r="B35" s="221" t="str">
        <f>'Calc Sheet 23_24'!B434</f>
        <v xml:space="preserve">2.3 Three phase domestic connection in meter box, Split pre-payment meter </v>
      </c>
      <c r="C35" s="222" t="s">
        <v>340</v>
      </c>
      <c r="D35" s="201">
        <f>'Calc Sheet 23_24'!H466</f>
        <v>21730</v>
      </c>
      <c r="E35" s="521">
        <v>16375</v>
      </c>
      <c r="F35" s="606">
        <v>16040</v>
      </c>
      <c r="G35" s="379">
        <f>'Calc Sheet 23_24'!I466</f>
        <v>16250</v>
      </c>
      <c r="H35" s="228">
        <f>(G35-F35)/F35</f>
        <v>1.3092269326683292E-2</v>
      </c>
      <c r="I35" s="229">
        <f>G35*I$3</f>
        <v>2437.5</v>
      </c>
      <c r="J35" s="562">
        <f>G35+I35</f>
        <v>18687.5</v>
      </c>
      <c r="K35" s="271">
        <v>9100033030416</v>
      </c>
      <c r="M35" s="415"/>
      <c r="N35" s="417">
        <f>+$M35*(1+'Unit tariffs'!$F$2)</f>
        <v>0</v>
      </c>
      <c r="O35" s="417">
        <f>+$M35*(1+'Unit tariffs'!$F$2)</f>
        <v>0</v>
      </c>
      <c r="P35" s="417">
        <f>+$M35*(1+'Unit tariffs'!$F$2)</f>
        <v>0</v>
      </c>
      <c r="Q35" s="417">
        <f>+$P35*(1+'Unit tariffs'!$F$2)</f>
        <v>0</v>
      </c>
      <c r="R35" s="795" t="s">
        <v>633</v>
      </c>
      <c r="S35" s="795" t="s">
        <v>633</v>
      </c>
      <c r="T35" s="795" t="s">
        <v>633</v>
      </c>
    </row>
    <row r="36" spans="1:20" hidden="1" x14ac:dyDescent="0.35">
      <c r="A36" s="269"/>
      <c r="B36" s="239"/>
      <c r="C36" s="222"/>
      <c r="D36" s="201"/>
      <c r="E36" s="521"/>
      <c r="F36" s="610"/>
      <c r="G36" s="379"/>
      <c r="H36" s="228"/>
      <c r="I36" s="229"/>
      <c r="J36" s="562"/>
      <c r="K36" s="275"/>
      <c r="M36" s="417">
        <f>J36+L36</f>
        <v>0</v>
      </c>
      <c r="N36" s="417"/>
      <c r="O36" s="417"/>
      <c r="P36" s="417"/>
      <c r="Q36" s="417">
        <f>+$P36*(1+'Unit tariffs'!$F$2)</f>
        <v>0</v>
      </c>
      <c r="R36" s="795" t="s">
        <v>633</v>
      </c>
      <c r="S36" s="795" t="s">
        <v>633</v>
      </c>
      <c r="T36" s="795" t="s">
        <v>633</v>
      </c>
    </row>
    <row r="37" spans="1:20" x14ac:dyDescent="0.35">
      <c r="A37" s="269"/>
      <c r="B37" s="221" t="str">
        <f>'Calc Sheet 23_24'!B473</f>
        <v>2.4 Three phase domestic connection in meter box, Split pre-payment meter.</v>
      </c>
      <c r="C37" s="226" t="s">
        <v>341</v>
      </c>
      <c r="D37" s="201">
        <f>'Calc Sheet 23_24'!H503</f>
        <v>15130</v>
      </c>
      <c r="E37" s="521">
        <v>13720</v>
      </c>
      <c r="F37" s="606">
        <f>+'Calc Sheet 23_24'!H503</f>
        <v>15130</v>
      </c>
      <c r="G37" s="379">
        <f>+'Calc Sheet 23_24'!I503</f>
        <v>8800</v>
      </c>
      <c r="H37" s="228">
        <f>(G37-F37)/F37</f>
        <v>-0.41837409120951752</v>
      </c>
      <c r="I37" s="229">
        <f>G37*I$3</f>
        <v>1320</v>
      </c>
      <c r="J37" s="562">
        <f>G37+I37</f>
        <v>10120</v>
      </c>
      <c r="K37" s="271">
        <v>9100033030416</v>
      </c>
      <c r="M37" s="417">
        <f>J37</f>
        <v>10120</v>
      </c>
      <c r="N37" s="417">
        <f>+$M37*(1+'Unit tariffs'!$F$2)</f>
        <v>10696.84</v>
      </c>
      <c r="O37" s="417">
        <f>+$N37*(1+'Unit tariffs'!$F$2)</f>
        <v>11306.559879999999</v>
      </c>
      <c r="P37" s="417">
        <f>+$O37*(1+'Unit tariffs'!$F$2)</f>
        <v>11951.033793159999</v>
      </c>
      <c r="Q37" s="417">
        <f>+$P37*(1+'Unit tariffs'!$F$2)</f>
        <v>12632.242719370119</v>
      </c>
      <c r="R37" s="795"/>
      <c r="S37" s="795"/>
      <c r="T37" s="795"/>
    </row>
    <row r="38" spans="1:20" ht="15" thickBot="1" x14ac:dyDescent="0.4">
      <c r="A38" s="293"/>
      <c r="B38" s="301"/>
      <c r="C38" s="302" t="s">
        <v>240</v>
      </c>
      <c r="D38" s="296"/>
      <c r="E38" s="527"/>
      <c r="F38" s="611"/>
      <c r="G38" s="299"/>
      <c r="H38" s="297"/>
      <c r="I38" s="298"/>
      <c r="J38" s="566"/>
      <c r="K38" s="311"/>
      <c r="M38" s="423"/>
      <c r="N38" s="423"/>
      <c r="O38" s="423"/>
      <c r="P38" s="423"/>
      <c r="Q38" s="423"/>
      <c r="R38" s="795" t="s">
        <v>633</v>
      </c>
      <c r="S38" s="795" t="s">
        <v>633</v>
      </c>
      <c r="T38" s="795" t="s">
        <v>633</v>
      </c>
    </row>
    <row r="39" spans="1:20" ht="15.5" thickTop="1" thickBot="1" x14ac:dyDescent="0.4">
      <c r="A39" s="396"/>
      <c r="B39" s="397"/>
      <c r="C39" s="398"/>
      <c r="D39" s="399"/>
      <c r="E39" s="528"/>
      <c r="F39" s="612"/>
      <c r="G39" s="400"/>
      <c r="H39" s="401"/>
      <c r="I39" s="402"/>
      <c r="J39" s="567"/>
      <c r="K39" s="270"/>
      <c r="M39" s="425"/>
      <c r="N39" s="425"/>
      <c r="O39" s="425"/>
      <c r="P39" s="425"/>
      <c r="Q39" s="425"/>
      <c r="R39" s="795" t="s">
        <v>633</v>
      </c>
      <c r="S39" s="795" t="s">
        <v>633</v>
      </c>
      <c r="T39" s="795" t="s">
        <v>633</v>
      </c>
    </row>
    <row r="40" spans="1:20" ht="15.5" x14ac:dyDescent="0.35">
      <c r="A40" s="396"/>
      <c r="B40" s="262" t="str">
        <f>+B1</f>
        <v>CENTLEC : ELECTRICITY SERVICES COSTS FOR MOHOKARE MUNIC</v>
      </c>
      <c r="C40" s="263"/>
      <c r="D40" s="368" t="s">
        <v>317</v>
      </c>
      <c r="E40" s="529"/>
      <c r="F40" s="613" t="s">
        <v>74</v>
      </c>
      <c r="G40" s="370" t="s">
        <v>74</v>
      </c>
      <c r="H40" s="369" t="s">
        <v>85</v>
      </c>
      <c r="I40" s="52" t="s">
        <v>441</v>
      </c>
      <c r="J40" s="370" t="s">
        <v>138</v>
      </c>
      <c r="K40" s="371" t="s">
        <v>75</v>
      </c>
      <c r="M40" s="670" t="s">
        <v>138</v>
      </c>
      <c r="N40" s="670" t="s">
        <v>138</v>
      </c>
      <c r="O40" s="670" t="s">
        <v>138</v>
      </c>
      <c r="P40" s="670" t="s">
        <v>138</v>
      </c>
      <c r="Q40" s="670" t="s">
        <v>138</v>
      </c>
      <c r="R40" s="795" t="s">
        <v>633</v>
      </c>
      <c r="S40" s="795" t="s">
        <v>633</v>
      </c>
      <c r="T40" s="795" t="s">
        <v>633</v>
      </c>
    </row>
    <row r="41" spans="1:20" ht="15.5" x14ac:dyDescent="0.35">
      <c r="A41" s="396"/>
      <c r="B41" s="404"/>
      <c r="C41" s="304"/>
      <c r="D41" s="323" t="s">
        <v>318</v>
      </c>
      <c r="E41" s="530"/>
      <c r="F41" s="614" t="s">
        <v>318</v>
      </c>
      <c r="G41" s="308" t="s">
        <v>318</v>
      </c>
      <c r="H41" s="324" t="s">
        <v>86</v>
      </c>
      <c r="I41" s="643">
        <f>+'Unit tariffs'!F$3</f>
        <v>0.15</v>
      </c>
      <c r="J41" s="308" t="s">
        <v>139</v>
      </c>
      <c r="K41" s="325" t="s">
        <v>78</v>
      </c>
      <c r="M41" s="672" t="s">
        <v>139</v>
      </c>
      <c r="N41" s="672" t="s">
        <v>139</v>
      </c>
      <c r="O41" s="672" t="s">
        <v>139</v>
      </c>
      <c r="P41" s="672" t="s">
        <v>139</v>
      </c>
      <c r="Q41" s="672" t="s">
        <v>139</v>
      </c>
      <c r="R41" s="795"/>
      <c r="S41" s="795"/>
      <c r="T41" s="795"/>
    </row>
    <row r="42" spans="1:20" ht="15.5" x14ac:dyDescent="0.35">
      <c r="A42" s="396"/>
      <c r="B42" s="404"/>
      <c r="C42" s="226" t="s">
        <v>328</v>
      </c>
      <c r="D42" s="326" t="s">
        <v>279</v>
      </c>
      <c r="E42" s="531"/>
      <c r="F42" s="665" t="str">
        <f>'Calc Sheet 23_24'!$H$11</f>
        <v>2025/2026</v>
      </c>
      <c r="G42" s="224" t="str">
        <f>'Calc Sheet 23_24'!$I$11</f>
        <v>2026/2027</v>
      </c>
      <c r="H42" s="327" t="str">
        <f>G42</f>
        <v>2026/2027</v>
      </c>
      <c r="I42" s="52" t="str">
        <f>G42</f>
        <v>2026/2027</v>
      </c>
      <c r="J42" s="224" t="str">
        <f>I42</f>
        <v>2026/2027</v>
      </c>
      <c r="K42" s="325" t="s">
        <v>79</v>
      </c>
      <c r="M42" s="667" t="s">
        <v>451</v>
      </c>
      <c r="N42" s="667" t="s">
        <v>578</v>
      </c>
      <c r="O42" s="667" t="s">
        <v>579</v>
      </c>
      <c r="P42" s="667" t="s">
        <v>580</v>
      </c>
      <c r="Q42" s="667" t="s">
        <v>620</v>
      </c>
      <c r="R42" s="795"/>
      <c r="S42" s="795"/>
      <c r="T42" s="795"/>
    </row>
    <row r="43" spans="1:20" ht="15" thickBot="1" x14ac:dyDescent="0.4">
      <c r="A43" s="403"/>
      <c r="B43" s="405" t="str">
        <f>'Calc Sheet 23_24'!B577</f>
        <v>3. NEW SINGLE PHASE DOMESTIC CONNECTIONS: PERI-URBAN</v>
      </c>
      <c r="C43" s="295" t="s">
        <v>329</v>
      </c>
      <c r="D43" s="306" t="s">
        <v>80</v>
      </c>
      <c r="E43" s="532"/>
      <c r="F43" s="615" t="s">
        <v>80</v>
      </c>
      <c r="G43" s="381" t="s">
        <v>80</v>
      </c>
      <c r="H43" s="297"/>
      <c r="I43" s="298"/>
      <c r="J43" s="566"/>
      <c r="K43" s="311"/>
      <c r="M43" s="423"/>
      <c r="N43" s="423"/>
      <c r="O43" s="423"/>
      <c r="P43" s="423"/>
      <c r="Q43" s="423"/>
      <c r="R43" s="795"/>
      <c r="S43" s="795"/>
      <c r="T43" s="795"/>
    </row>
    <row r="44" spans="1:20" ht="15.5" thickTop="1" thickBot="1" x14ac:dyDescent="0.4">
      <c r="A44" s="300"/>
      <c r="C44" s="288"/>
      <c r="D44" s="289"/>
      <c r="E44" s="525"/>
      <c r="F44" s="609"/>
      <c r="G44" s="382"/>
      <c r="H44" s="290"/>
      <c r="I44" s="291"/>
      <c r="J44" s="560"/>
      <c r="K44" s="310"/>
      <c r="M44" s="423"/>
      <c r="N44" s="413"/>
      <c r="O44" s="413"/>
      <c r="P44" s="413"/>
      <c r="Q44" s="413"/>
      <c r="R44" s="795"/>
      <c r="S44" s="795"/>
      <c r="T44" s="795"/>
    </row>
    <row r="45" spans="1:20" ht="46.25" customHeight="1" thickTop="1" x14ac:dyDescent="0.35">
      <c r="A45" s="269"/>
      <c r="B45" s="221" t="str">
        <f>+'Calc Sheet 23_24'!B579</f>
        <v>3.1 Single phase Peri-Urban domestic connection with TOU kWh meter.  Supplied by 25kVA single phase transformer (80A) from 11kV overhead line   (where an 11kV line exists and is within the first 350m)</v>
      </c>
      <c r="C45" s="222" t="s">
        <v>241</v>
      </c>
      <c r="D45" s="557">
        <f>+'Calc Sheet 23_24'!H608</f>
        <v>35990</v>
      </c>
      <c r="E45" s="533">
        <v>15930</v>
      </c>
      <c r="F45" s="616">
        <f>+'Calc Sheet 23_24'!H608</f>
        <v>35990</v>
      </c>
      <c r="G45" s="384">
        <f>+'Calc Sheet 23_24'!I608</f>
        <v>29340</v>
      </c>
      <c r="H45" s="228">
        <f>(G45-F45)/F45</f>
        <v>-0.18477354820783551</v>
      </c>
      <c r="I45" s="229">
        <f>G45*I$3</f>
        <v>4401</v>
      </c>
      <c r="J45" s="562">
        <f>G45+I45</f>
        <v>33741</v>
      </c>
      <c r="K45" s="271">
        <v>9100033030416</v>
      </c>
      <c r="M45" s="417">
        <f>J45</f>
        <v>33741</v>
      </c>
      <c r="N45" s="417">
        <f>+$M45*(1+'Unit tariffs'!$F$2)</f>
        <v>35664.237000000001</v>
      </c>
      <c r="O45" s="417">
        <f>+$N45*(1+'Unit tariffs'!$F$2)</f>
        <v>37697.098508999996</v>
      </c>
      <c r="P45" s="417">
        <f>+$O45*(1+'Unit tariffs'!$F$2)</f>
        <v>39845.833124012992</v>
      </c>
      <c r="Q45" s="417">
        <f>+$P45*(1+'Unit tariffs'!$F$2)</f>
        <v>42117.045612081733</v>
      </c>
      <c r="R45" s="795" t="s">
        <v>633</v>
      </c>
      <c r="S45" s="795" t="s">
        <v>633</v>
      </c>
      <c r="T45" s="795" t="s">
        <v>633</v>
      </c>
    </row>
    <row r="46" spans="1:20" ht="34.25" customHeight="1" x14ac:dyDescent="0.35">
      <c r="A46" s="269"/>
      <c r="B46" s="221" t="str">
        <f>+'Calc Sheet 23_24'!B613</f>
        <v>3.2 Single phase Peri-Urban domestic connection - Prepayment meter. - Supplied by 25kVA single phase Trfr (80A) from 11kV overhead line   (where an 11kV line exists and is within the first 350m)</v>
      </c>
      <c r="C46" s="222" t="s">
        <v>241</v>
      </c>
      <c r="D46" s="201">
        <f>+'Calc Sheet 23_24'!H650</f>
        <v>40460</v>
      </c>
      <c r="E46" s="521">
        <v>12240</v>
      </c>
      <c r="F46" s="606">
        <f>+'Calc Sheet 23_24'!H650</f>
        <v>40460</v>
      </c>
      <c r="G46" s="379">
        <f>+'Calc Sheet 23_24'!I650</f>
        <v>24370</v>
      </c>
      <c r="H46" s="228">
        <f>(G46-F46)/F46</f>
        <v>-0.39767671774592189</v>
      </c>
      <c r="I46" s="229">
        <f>G46*I$3</f>
        <v>3655.5</v>
      </c>
      <c r="J46" s="562">
        <f>G46+I46</f>
        <v>28025.5</v>
      </c>
      <c r="K46" s="271">
        <v>9100033030416</v>
      </c>
      <c r="M46" s="417">
        <f>J46+L46</f>
        <v>28025.5</v>
      </c>
      <c r="N46" s="417">
        <f>+$M46*(1+'Unit tariffs'!$F$2)</f>
        <v>29622.9535</v>
      </c>
      <c r="O46" s="417">
        <f>+$N46*(1+'Unit tariffs'!$F$2)</f>
        <v>31311.4618495</v>
      </c>
      <c r="P46" s="417">
        <f>+$O46*(1+'Unit tariffs'!$F$2)</f>
        <v>33096.215174921497</v>
      </c>
      <c r="Q46" s="417">
        <f>+$P46*(1+'Unit tariffs'!$F$2)</f>
        <v>34982.699439892021</v>
      </c>
      <c r="R46" s="795" t="s">
        <v>633</v>
      </c>
      <c r="S46" s="795" t="s">
        <v>633</v>
      </c>
      <c r="T46" s="795" t="s">
        <v>633</v>
      </c>
    </row>
    <row r="47" spans="1:20" ht="39.5" x14ac:dyDescent="0.35">
      <c r="A47" s="269"/>
      <c r="B47" s="221">
        <f>+'Summary Mangaung 2026_27'!B99</f>
        <v>0</v>
      </c>
      <c r="C47" s="688" t="s">
        <v>241</v>
      </c>
      <c r="D47" s="201"/>
      <c r="E47" s="521"/>
      <c r="F47" s="607" t="e">
        <f>'Summary Mangaung 2026_27'!#REF!</f>
        <v>#REF!</v>
      </c>
      <c r="G47" s="380" t="e">
        <f>'Summary Mangaung 2026_27'!#REF!</f>
        <v>#REF!</v>
      </c>
      <c r="H47" s="228" t="e">
        <f>(G47-F47)/F47</f>
        <v>#REF!</v>
      </c>
      <c r="I47" s="229" t="e">
        <f>G47*I$3</f>
        <v>#REF!</v>
      </c>
      <c r="J47" s="562" t="e">
        <f>G47+I47</f>
        <v>#REF!</v>
      </c>
      <c r="K47" s="271"/>
      <c r="M47" s="769" t="e">
        <f>G47</f>
        <v>#REF!</v>
      </c>
      <c r="N47" s="769" t="e">
        <f>M47</f>
        <v>#REF!</v>
      </c>
      <c r="O47" s="769" t="e">
        <f>N47</f>
        <v>#REF!</v>
      </c>
      <c r="P47" s="769" t="e">
        <f>O47</f>
        <v>#REF!</v>
      </c>
      <c r="Q47" s="769" t="e">
        <f>P47</f>
        <v>#REF!</v>
      </c>
      <c r="R47" s="227" t="s">
        <v>634</v>
      </c>
      <c r="S47" s="795" t="s">
        <v>633</v>
      </c>
      <c r="T47" s="795" t="s">
        <v>633</v>
      </c>
    </row>
    <row r="48" spans="1:20" ht="13.25" customHeight="1" x14ac:dyDescent="0.35">
      <c r="A48" s="269"/>
      <c r="B48" s="221"/>
      <c r="C48" s="688"/>
      <c r="D48" s="201"/>
      <c r="E48" s="521"/>
      <c r="F48" s="607"/>
      <c r="G48" s="380"/>
      <c r="H48" s="228"/>
      <c r="I48" s="229"/>
      <c r="J48" s="562"/>
      <c r="K48" s="271"/>
      <c r="M48" s="417"/>
      <c r="N48" s="417"/>
      <c r="O48" s="417"/>
      <c r="P48" s="417"/>
      <c r="Q48" s="417"/>
      <c r="R48" s="795"/>
      <c r="S48" s="795"/>
      <c r="T48" s="795"/>
    </row>
    <row r="49" spans="1:20" x14ac:dyDescent="0.35">
      <c r="A49" s="269"/>
      <c r="B49" s="221"/>
      <c r="C49" s="222"/>
      <c r="D49" s="201"/>
      <c r="E49" s="521"/>
      <c r="F49" s="606"/>
      <c r="G49" s="379"/>
      <c r="H49" s="228"/>
      <c r="I49" s="229"/>
      <c r="J49" s="562"/>
      <c r="K49" s="271"/>
      <c r="M49" s="417"/>
      <c r="N49" s="417"/>
      <c r="O49" s="417"/>
      <c r="P49" s="417"/>
      <c r="Q49" s="417"/>
      <c r="R49" s="795"/>
      <c r="S49" s="795"/>
      <c r="T49" s="795"/>
    </row>
    <row r="50" spans="1:20" ht="18.75" customHeight="1" x14ac:dyDescent="0.35">
      <c r="A50" s="269"/>
      <c r="B50" s="227" t="str">
        <f>'Calc Sheet 23_24'!B686</f>
        <v>4. NEW THREE PHASE DOMESTIC CONNECTIONS: PERI-URBAN</v>
      </c>
      <c r="C50" s="222"/>
      <c r="D50" s="201"/>
      <c r="E50" s="520"/>
      <c r="F50" s="605"/>
      <c r="G50" s="220"/>
      <c r="H50" s="219"/>
      <c r="I50" s="216"/>
      <c r="J50" s="561"/>
      <c r="K50" s="270"/>
      <c r="M50" s="417"/>
      <c r="N50" s="415"/>
      <c r="O50" s="415"/>
      <c r="P50" s="415"/>
      <c r="Q50" s="415"/>
      <c r="R50" s="795"/>
      <c r="S50" s="795"/>
      <c r="T50" s="795"/>
    </row>
    <row r="51" spans="1:20" ht="28.5" customHeight="1" x14ac:dyDescent="0.35">
      <c r="A51" s="286"/>
      <c r="B51" s="336" t="str">
        <f>+'Calc Sheet 23_24'!B688</f>
        <v xml:space="preserve">Three phase domestic connection in meterbox, where an 11kV line exists or has to be extended up to 350m.                                           </v>
      </c>
      <c r="C51" s="226"/>
      <c r="D51" s="201"/>
      <c r="E51" s="521"/>
      <c r="F51" s="606"/>
      <c r="G51" s="379"/>
      <c r="H51" s="219"/>
      <c r="I51" s="216"/>
      <c r="J51" s="561"/>
      <c r="K51" s="270"/>
      <c r="M51" s="417"/>
      <c r="N51" s="415"/>
      <c r="O51" s="415"/>
      <c r="P51" s="415"/>
      <c r="Q51" s="415"/>
      <c r="R51" s="795"/>
      <c r="S51" s="795"/>
      <c r="T51" s="795"/>
    </row>
    <row r="52" spans="1:20" ht="13.25" customHeight="1" x14ac:dyDescent="0.35">
      <c r="A52" s="269"/>
      <c r="B52" s="221"/>
      <c r="C52" s="222"/>
      <c r="D52" s="201"/>
      <c r="E52" s="521"/>
      <c r="F52" s="606"/>
      <c r="G52" s="379"/>
      <c r="H52" s="219"/>
      <c r="I52" s="216"/>
      <c r="J52" s="561"/>
      <c r="K52" s="270"/>
      <c r="M52" s="417"/>
      <c r="N52" s="415"/>
      <c r="O52" s="415"/>
      <c r="P52" s="415"/>
      <c r="Q52" s="415"/>
      <c r="R52" s="795"/>
      <c r="S52" s="795"/>
      <c r="T52" s="795"/>
    </row>
    <row r="53" spans="1:20" ht="24.75" hidden="1" customHeight="1" x14ac:dyDescent="0.35">
      <c r="A53" s="269"/>
      <c r="B53" s="221" t="str">
        <f>+'Calc Sheet 23_24'!B691</f>
        <v xml:space="preserve">4.1 New Three phase 80A/ph 25kVA domestic connection  in meter box with Time of use (TOU) meter in Mangaung - Peri urban                                              </v>
      </c>
      <c r="C53" s="222" t="str">
        <f>+C46</f>
        <v>Peri Urban Area</v>
      </c>
      <c r="D53" s="201">
        <f>+'Calc Sheet 23_24'!H730</f>
        <v>49620</v>
      </c>
      <c r="E53" s="521">
        <v>27150</v>
      </c>
      <c r="F53" s="606">
        <v>27500</v>
      </c>
      <c r="G53" s="379">
        <f>+'Calc Sheet 23_24'!I730</f>
        <v>44270</v>
      </c>
      <c r="H53" s="228">
        <f>(G53-F53)/F53</f>
        <v>0.60981818181818181</v>
      </c>
      <c r="I53" s="229">
        <f>G53*I$3</f>
        <v>6640.5</v>
      </c>
      <c r="J53" s="562">
        <f>G53+I53</f>
        <v>50910.5</v>
      </c>
      <c r="K53" s="271">
        <v>9100033030416</v>
      </c>
      <c r="M53" s="417">
        <f>J53+L53</f>
        <v>50910.5</v>
      </c>
      <c r="N53" s="417">
        <f>+$M53*(1+'Unit tariffs'!$F$2)</f>
        <v>53812.398499999996</v>
      </c>
      <c r="O53" s="417">
        <f>+$M53*(1+'Unit tariffs'!$F$2)</f>
        <v>53812.398499999996</v>
      </c>
      <c r="P53" s="417">
        <f>+$M53*(1+'Unit tariffs'!$F$2)</f>
        <v>53812.398499999996</v>
      </c>
      <c r="Q53" s="417">
        <f>+$M53*(1+'Unit tariffs'!$F$2)</f>
        <v>53812.398499999996</v>
      </c>
      <c r="R53" s="795" t="s">
        <v>633</v>
      </c>
      <c r="S53" s="795" t="s">
        <v>633</v>
      </c>
      <c r="T53" s="795" t="s">
        <v>633</v>
      </c>
    </row>
    <row r="54" spans="1:20" hidden="1" x14ac:dyDescent="0.35">
      <c r="A54" s="269"/>
      <c r="B54" s="241"/>
      <c r="C54" s="222"/>
      <c r="D54" s="201"/>
      <c r="E54" s="521"/>
      <c r="F54" s="606"/>
      <c r="G54" s="379"/>
      <c r="H54" s="219"/>
      <c r="I54" s="216"/>
      <c r="J54" s="561"/>
      <c r="K54" s="270"/>
      <c r="M54" s="417"/>
      <c r="N54" s="415"/>
      <c r="O54" s="415"/>
      <c r="P54" s="415"/>
      <c r="Q54" s="415"/>
      <c r="R54" s="795"/>
      <c r="S54" s="795"/>
      <c r="T54" s="795"/>
    </row>
    <row r="55" spans="1:20" ht="25.5" customHeight="1" x14ac:dyDescent="0.35">
      <c r="A55" s="269"/>
      <c r="B55" s="221" t="str">
        <f>+'Calc Sheet 23_24'!B735</f>
        <v xml:space="preserve">4.2 New Three phase 80A/ph domestic connection in meter box with Time of use (TOU) meter in Regional.                                                                                      </v>
      </c>
      <c r="C55" s="222" t="s">
        <v>243</v>
      </c>
      <c r="D55" s="556">
        <f>+'Calc Sheet 23_24'!H771</f>
        <v>37790</v>
      </c>
      <c r="E55" s="521">
        <v>26870</v>
      </c>
      <c r="F55" s="606">
        <f>+'Calc Sheet 23_24'!H771</f>
        <v>37790</v>
      </c>
      <c r="G55" s="379">
        <f>+'Calc Sheet 23_24'!I771</f>
        <v>30840</v>
      </c>
      <c r="H55" s="228">
        <f>(G55-F55)/F55</f>
        <v>-0.18391108758930935</v>
      </c>
      <c r="I55" s="229">
        <f>G55*I$3</f>
        <v>4626</v>
      </c>
      <c r="J55" s="562">
        <f>G55+I55</f>
        <v>35466</v>
      </c>
      <c r="K55" s="271">
        <v>9100033030416</v>
      </c>
      <c r="M55" s="417">
        <f>J55+L55</f>
        <v>35466</v>
      </c>
      <c r="N55" s="417">
        <f>+$M55*(1+'Unit tariffs'!$F$2)</f>
        <v>37487.561999999998</v>
      </c>
      <c r="O55" s="417">
        <f>+$N55*(1+'Unit tariffs'!$F$2)</f>
        <v>39624.353033999992</v>
      </c>
      <c r="P55" s="417">
        <f>+$O55*(1+'Unit tariffs'!$F$2)</f>
        <v>41882.941156937988</v>
      </c>
      <c r="Q55" s="417">
        <f>+$P55*(1+'Unit tariffs'!$F$2)</f>
        <v>44270.268802883453</v>
      </c>
      <c r="R55" s="795" t="s">
        <v>633</v>
      </c>
      <c r="S55" s="795" t="s">
        <v>633</v>
      </c>
      <c r="T55" s="795" t="s">
        <v>633</v>
      </c>
    </row>
    <row r="56" spans="1:20" x14ac:dyDescent="0.35">
      <c r="A56" s="269"/>
      <c r="B56" s="241"/>
      <c r="C56" s="222"/>
      <c r="D56" s="201"/>
      <c r="E56" s="521"/>
      <c r="F56" s="606"/>
      <c r="G56" s="379"/>
      <c r="H56" s="219"/>
      <c r="I56" s="216"/>
      <c r="J56" s="561"/>
      <c r="K56" s="270"/>
      <c r="M56" s="415"/>
      <c r="N56" s="415"/>
      <c r="O56" s="415"/>
      <c r="P56" s="415"/>
      <c r="Q56" s="417"/>
      <c r="R56" s="795"/>
      <c r="S56" s="795"/>
      <c r="T56" s="795"/>
    </row>
    <row r="57" spans="1:20" ht="23.25" hidden="1" customHeight="1" x14ac:dyDescent="0.35">
      <c r="A57" s="269"/>
      <c r="B57" s="221" t="str">
        <f>'Calc Sheet 23_24'!B778</f>
        <v xml:space="preserve">4.3  New Three phase Peri-Urban domestic connection - Pre-payment meter (80A per phase)                                                    </v>
      </c>
      <c r="C57" s="222" t="str">
        <f>+C55</f>
        <v>[Regional - peri urban area]</v>
      </c>
      <c r="D57" s="201">
        <f>+'Calc Sheet 23_24'!H820</f>
        <v>38500</v>
      </c>
      <c r="E57" s="521">
        <v>27370</v>
      </c>
      <c r="F57" s="606">
        <v>27980</v>
      </c>
      <c r="G57" s="379">
        <f>+'Calc Sheet 23_24'!I820</f>
        <v>33650</v>
      </c>
      <c r="H57" s="228">
        <f>(G57-F57)/F57</f>
        <v>0.20264474624731951</v>
      </c>
      <c r="I57" s="229">
        <f>G57*I$3</f>
        <v>5047.5</v>
      </c>
      <c r="J57" s="562">
        <f>G57+I57</f>
        <v>38697.5</v>
      </c>
      <c r="K57" s="271">
        <v>9100033030416</v>
      </c>
      <c r="M57" s="417">
        <f>J57+L57</f>
        <v>38697.5</v>
      </c>
      <c r="N57" s="417">
        <f>+$M57*(1+'Unit tariffs'!$F$2)</f>
        <v>40903.2575</v>
      </c>
      <c r="O57" s="417">
        <f>+$M57*(1+'Unit tariffs'!$F$2)</f>
        <v>40903.2575</v>
      </c>
      <c r="P57" s="417">
        <f>+$M57*(1+'Unit tariffs'!$F$2)</f>
        <v>40903.2575</v>
      </c>
      <c r="Q57" s="417">
        <f>+$P57*(1+'Unit tariffs'!$F$2)</f>
        <v>43234.7431775</v>
      </c>
      <c r="R57" s="795" t="s">
        <v>633</v>
      </c>
      <c r="S57" s="795" t="s">
        <v>633</v>
      </c>
      <c r="T57" s="795" t="s">
        <v>633</v>
      </c>
    </row>
    <row r="58" spans="1:20" hidden="1" x14ac:dyDescent="0.35">
      <c r="A58" s="269"/>
      <c r="B58" s="239"/>
      <c r="C58" s="222"/>
      <c r="D58" s="201"/>
      <c r="E58" s="521"/>
      <c r="F58" s="606"/>
      <c r="G58" s="379"/>
      <c r="H58" s="228"/>
      <c r="I58" s="229"/>
      <c r="J58" s="562"/>
      <c r="K58" s="275"/>
      <c r="M58" s="417"/>
      <c r="N58" s="417"/>
      <c r="O58" s="417"/>
      <c r="P58" s="417"/>
      <c r="Q58" s="417">
        <f>+$P58*(1+'Unit tariffs'!$F$2)</f>
        <v>0</v>
      </c>
      <c r="R58" s="795"/>
      <c r="S58" s="795"/>
      <c r="T58" s="795"/>
    </row>
    <row r="59" spans="1:20" ht="38" customHeight="1" x14ac:dyDescent="0.35">
      <c r="A59" s="269"/>
      <c r="B59" s="221" t="str">
        <f>'Calc Sheet 23_24'!B825</f>
        <v xml:space="preserve">4.4 Three phase Peri-Urban domestic connection - Pre- payment meter (80A per phase)                                                    </v>
      </c>
      <c r="C59" s="226" t="str">
        <f>+'Calc Sheet 23_24'!I825</f>
        <v>[Regional - peri urban area]</v>
      </c>
      <c r="D59" s="201">
        <f>+'Calc Sheet 23_24'!H863</f>
        <v>37130</v>
      </c>
      <c r="E59" s="521">
        <v>24710</v>
      </c>
      <c r="F59" s="606">
        <f>+'Calc Sheet 23_24'!H863</f>
        <v>37130</v>
      </c>
      <c r="G59" s="379">
        <f>+'Calc Sheet 23_24'!I863</f>
        <v>32080</v>
      </c>
      <c r="H59" s="228">
        <f>(G59-F59)/F59</f>
        <v>-0.13600861836789657</v>
      </c>
      <c r="I59" s="229">
        <f>G59*I$3</f>
        <v>4812</v>
      </c>
      <c r="J59" s="562">
        <f>G59+I59</f>
        <v>36892</v>
      </c>
      <c r="K59" s="271">
        <v>9100033030416</v>
      </c>
      <c r="M59" s="417">
        <f>J59+L59</f>
        <v>36892</v>
      </c>
      <c r="N59" s="417">
        <f>+$M59*(1+'Unit tariffs'!$F$2)</f>
        <v>38994.843999999997</v>
      </c>
      <c r="O59" s="417">
        <f>+$N59*(1+'Unit tariffs'!$F$2)</f>
        <v>41217.550107999996</v>
      </c>
      <c r="P59" s="417">
        <f>+$O59*(1+'Unit tariffs'!$F$2)</f>
        <v>43566.950464155991</v>
      </c>
      <c r="Q59" s="417">
        <f>+$P59*(1+'Unit tariffs'!$F$2)</f>
        <v>46050.266640612877</v>
      </c>
      <c r="R59" s="795" t="s">
        <v>633</v>
      </c>
      <c r="S59" s="795" t="s">
        <v>633</v>
      </c>
      <c r="T59" s="795" t="s">
        <v>633</v>
      </c>
    </row>
    <row r="60" spans="1:20" x14ac:dyDescent="0.35">
      <c r="A60" s="269"/>
      <c r="B60" s="239"/>
      <c r="C60" s="222"/>
      <c r="D60" s="201"/>
      <c r="E60" s="521"/>
      <c r="F60" s="606"/>
      <c r="G60" s="379"/>
      <c r="H60" s="228"/>
      <c r="I60" s="229"/>
      <c r="J60" s="562"/>
      <c r="K60" s="271"/>
      <c r="M60" s="417"/>
      <c r="N60" s="417"/>
      <c r="O60" s="417"/>
      <c r="P60" s="417"/>
      <c r="Q60" s="417"/>
      <c r="R60" s="795"/>
      <c r="S60" s="795"/>
      <c r="T60" s="795"/>
    </row>
    <row r="61" spans="1:20" x14ac:dyDescent="0.35">
      <c r="A61" s="269"/>
      <c r="B61" s="227" t="str">
        <f>+'Calc Sheet 23_24'!B873</f>
        <v xml:space="preserve">4.5  Subdivision -  Peri-Urban area: </v>
      </c>
      <c r="C61" s="226"/>
      <c r="D61" s="201"/>
      <c r="E61" s="521"/>
      <c r="F61" s="606"/>
      <c r="G61" s="379"/>
      <c r="H61" s="228"/>
      <c r="I61" s="229"/>
      <c r="J61" s="562"/>
      <c r="K61" s="271"/>
      <c r="M61" s="417"/>
      <c r="N61" s="417"/>
      <c r="O61" s="417"/>
      <c r="P61" s="417"/>
      <c r="Q61" s="417"/>
      <c r="R61" s="795"/>
      <c r="S61" s="795"/>
      <c r="T61" s="795"/>
    </row>
    <row r="62" spans="1:20" ht="35.25" customHeight="1" x14ac:dyDescent="0.35">
      <c r="A62" s="269"/>
      <c r="B62" s="221" t="str">
        <f>+'Calc Sheet 23_24'!B875</f>
        <v xml:space="preserve">    4.5.1  Subdivision Pri Urban Area:  New Single Phase Split pre-payment meter connection in existing 11kV overhead line or  where 11kV overhead line needs to be exteded up to 350m.</v>
      </c>
      <c r="C62" s="222" t="s">
        <v>241</v>
      </c>
      <c r="D62" s="201">
        <f>+'Calc Sheet 23_24'!H904</f>
        <v>26560</v>
      </c>
      <c r="E62" s="521">
        <v>14510</v>
      </c>
      <c r="F62" s="606">
        <f>+'Calc Sheet 23_24'!H904</f>
        <v>26560</v>
      </c>
      <c r="G62" s="379">
        <f>+'Calc Sheet 23_24'!I904</f>
        <v>29670</v>
      </c>
      <c r="H62" s="228">
        <f>(G62-F62)/F62</f>
        <v>0.1170933734939759</v>
      </c>
      <c r="I62" s="229">
        <f>G62*I$3</f>
        <v>4450.5</v>
      </c>
      <c r="J62" s="562">
        <f>G62+I62</f>
        <v>34120.5</v>
      </c>
      <c r="K62" s="273">
        <v>9100033030416</v>
      </c>
      <c r="M62" s="417">
        <f>J62+L62</f>
        <v>34120.5</v>
      </c>
      <c r="N62" s="417">
        <f>+$M62*(1+'Unit tariffs'!$F$2)</f>
        <v>36065.368499999997</v>
      </c>
      <c r="O62" s="417">
        <f>+$N62*(1+'Unit tariffs'!$F$2)</f>
        <v>38121.094504499997</v>
      </c>
      <c r="P62" s="417">
        <f>+$O62*(1+'Unit tariffs'!$F$2)</f>
        <v>40293.996891256495</v>
      </c>
      <c r="Q62" s="417">
        <f>+$P62*(1+'Unit tariffs'!$F$2)</f>
        <v>42590.754714058115</v>
      </c>
      <c r="R62" s="795" t="s">
        <v>633</v>
      </c>
      <c r="S62" s="795" t="s">
        <v>633</v>
      </c>
      <c r="T62" s="795" t="s">
        <v>633</v>
      </c>
    </row>
    <row r="63" spans="1:20" ht="38.5" x14ac:dyDescent="0.35">
      <c r="A63" s="269"/>
      <c r="B63" s="221" t="str">
        <f>+'Calc Sheet 23_24'!B909</f>
        <v xml:space="preserve">    4.5.2 Subdivision Peri Urban Area:  New Three Split pre-payment meter connection on the stand boundary, where 11kV overhead line needs to be exteded up to 350m at ADMD = 7,5KVA</v>
      </c>
      <c r="C63" s="222" t="s">
        <v>241</v>
      </c>
      <c r="D63" s="235" t="str">
        <f>+'Calc Sheet 23_24'!H912</f>
        <v>Actual estimated cost plus network contribution for 7.5kVA</v>
      </c>
      <c r="E63" s="523"/>
      <c r="F63" s="607" t="s">
        <v>261</v>
      </c>
      <c r="G63" s="380" t="str">
        <f>+'Calc Sheet 23_24'!I912</f>
        <v>Actual estimated cost plus network contribution for 7.5kVA</v>
      </c>
      <c r="H63" s="228"/>
      <c r="I63" s="229"/>
      <c r="J63" s="562"/>
      <c r="K63" s="271"/>
      <c r="M63" s="417"/>
      <c r="N63" s="417"/>
      <c r="O63" s="417"/>
      <c r="P63" s="417"/>
      <c r="Q63" s="417"/>
      <c r="R63" s="795"/>
      <c r="S63" s="795"/>
      <c r="T63" s="795"/>
    </row>
    <row r="64" spans="1:20" ht="15" thickBot="1" x14ac:dyDescent="0.4">
      <c r="A64" s="364"/>
      <c r="B64" s="278"/>
      <c r="C64" s="279"/>
      <c r="D64" s="281"/>
      <c r="E64" s="524"/>
      <c r="F64" s="608"/>
      <c r="G64" s="284"/>
      <c r="H64" s="282"/>
      <c r="I64" s="283"/>
      <c r="J64" s="564"/>
      <c r="K64" s="372"/>
      <c r="M64" s="417"/>
      <c r="N64" s="421"/>
      <c r="O64" s="421"/>
      <c r="P64" s="421"/>
      <c r="Q64" s="421"/>
      <c r="R64" s="795"/>
      <c r="S64" s="795"/>
      <c r="T64" s="795"/>
    </row>
    <row r="65" spans="1:20" ht="16" thickBot="1" x14ac:dyDescent="0.4">
      <c r="A65" s="261"/>
      <c r="B65" s="262" t="str">
        <f>B1</f>
        <v>CENTLEC : ELECTRICITY SERVICES COSTS FOR MOHOKARE MUNIC</v>
      </c>
      <c r="C65" s="263"/>
      <c r="D65" s="264"/>
      <c r="E65" s="534"/>
      <c r="F65" s="601"/>
      <c r="G65" s="267"/>
      <c r="H65" s="265"/>
      <c r="I65" s="266"/>
      <c r="J65" s="559"/>
      <c r="K65" s="268"/>
      <c r="M65" s="421"/>
      <c r="N65" s="407"/>
      <c r="O65" s="407"/>
      <c r="P65" s="407"/>
      <c r="Q65" s="407"/>
      <c r="R65" s="795"/>
      <c r="S65" s="795"/>
      <c r="T65" s="795"/>
    </row>
    <row r="66" spans="1:20" x14ac:dyDescent="0.35">
      <c r="A66" s="286"/>
      <c r="B66" s="287" t="s">
        <v>1</v>
      </c>
      <c r="C66" s="288"/>
      <c r="D66" s="323" t="s">
        <v>74</v>
      </c>
      <c r="E66" s="530"/>
      <c r="F66" s="614" t="s">
        <v>74</v>
      </c>
      <c r="G66" s="308" t="s">
        <v>74</v>
      </c>
      <c r="H66" s="324" t="s">
        <v>85</v>
      </c>
      <c r="I66" s="52" t="s">
        <v>441</v>
      </c>
      <c r="J66" s="308" t="s">
        <v>138</v>
      </c>
      <c r="K66" s="325" t="s">
        <v>75</v>
      </c>
      <c r="M66" s="672" t="s">
        <v>138</v>
      </c>
      <c r="N66" s="672" t="s">
        <v>138</v>
      </c>
      <c r="O66" s="672" t="s">
        <v>138</v>
      </c>
      <c r="P66" s="672" t="s">
        <v>138</v>
      </c>
      <c r="Q66" s="672" t="s">
        <v>138</v>
      </c>
      <c r="R66" s="795"/>
      <c r="S66" s="795"/>
      <c r="T66" s="795"/>
    </row>
    <row r="67" spans="1:20" x14ac:dyDescent="0.35">
      <c r="A67" s="269"/>
      <c r="B67" s="307" t="s">
        <v>331</v>
      </c>
      <c r="C67" s="226"/>
      <c r="D67" s="328" t="s">
        <v>77</v>
      </c>
      <c r="E67" s="516"/>
      <c r="F67" s="602" t="s">
        <v>77</v>
      </c>
      <c r="G67" s="224" t="s">
        <v>77</v>
      </c>
      <c r="H67" s="327" t="s">
        <v>86</v>
      </c>
      <c r="I67" s="643">
        <f>+'Unit tariffs'!F$3</f>
        <v>0.15</v>
      </c>
      <c r="J67" s="224" t="s">
        <v>139</v>
      </c>
      <c r="K67" s="325" t="s">
        <v>78</v>
      </c>
      <c r="M67" s="667" t="s">
        <v>139</v>
      </c>
      <c r="N67" s="667" t="s">
        <v>139</v>
      </c>
      <c r="O67" s="667" t="s">
        <v>139</v>
      </c>
      <c r="P67" s="667" t="s">
        <v>139</v>
      </c>
      <c r="Q67" s="667" t="s">
        <v>139</v>
      </c>
      <c r="R67" s="795"/>
      <c r="S67" s="795"/>
      <c r="T67" s="795"/>
    </row>
    <row r="68" spans="1:20" x14ac:dyDescent="0.35">
      <c r="A68" s="269"/>
      <c r="B68" s="227" t="s">
        <v>1</v>
      </c>
      <c r="C68" s="226"/>
      <c r="D68" s="328" t="str">
        <f>D$4</f>
        <v>2016/2017</v>
      </c>
      <c r="E68" s="516"/>
      <c r="F68" s="665" t="str">
        <f>'Calc Sheet 23_24'!$H$11</f>
        <v>2025/2026</v>
      </c>
      <c r="G68" s="224" t="str">
        <f>'Calc Sheet 23_24'!$I$11</f>
        <v>2026/2027</v>
      </c>
      <c r="H68" s="327" t="str">
        <f>G68</f>
        <v>2026/2027</v>
      </c>
      <c r="I68" s="52" t="str">
        <f>G68</f>
        <v>2026/2027</v>
      </c>
      <c r="J68" s="224" t="str">
        <f>I68</f>
        <v>2026/2027</v>
      </c>
      <c r="K68" s="325" t="s">
        <v>79</v>
      </c>
      <c r="M68" s="667" t="s">
        <v>451</v>
      </c>
      <c r="N68" s="667" t="s">
        <v>578</v>
      </c>
      <c r="O68" s="667" t="s">
        <v>579</v>
      </c>
      <c r="P68" s="667" t="s">
        <v>580</v>
      </c>
      <c r="Q68" s="667" t="s">
        <v>620</v>
      </c>
      <c r="R68" s="795"/>
      <c r="S68" s="795"/>
      <c r="T68" s="795"/>
    </row>
    <row r="69" spans="1:20" x14ac:dyDescent="0.35">
      <c r="A69" s="269"/>
      <c r="B69" s="227" t="s">
        <v>1</v>
      </c>
      <c r="C69" s="226"/>
      <c r="D69" s="328" t="s">
        <v>80</v>
      </c>
      <c r="E69" s="516"/>
      <c r="F69" s="602" t="s">
        <v>80</v>
      </c>
      <c r="G69" s="224" t="s">
        <v>80</v>
      </c>
      <c r="H69" s="327"/>
      <c r="I69" s="52"/>
      <c r="J69" s="224"/>
      <c r="K69" s="325"/>
      <c r="N69" s="409"/>
      <c r="O69" s="409"/>
      <c r="P69" s="409"/>
      <c r="Q69" s="409"/>
      <c r="R69" s="795"/>
      <c r="S69" s="795"/>
      <c r="T69" s="795"/>
    </row>
    <row r="70" spans="1:20" ht="19.5" hidden="1" customHeight="1" x14ac:dyDescent="0.35">
      <c r="A70" s="269"/>
      <c r="B70" s="227" t="str">
        <f>'Calc Sheet 23_24'!B915</f>
        <v>5.  ILLUMINATING SIGNS</v>
      </c>
      <c r="C70" s="226"/>
      <c r="D70" s="218"/>
      <c r="E70" s="520"/>
      <c r="F70" s="605"/>
      <c r="G70" s="220"/>
      <c r="H70" s="219"/>
      <c r="I70" s="216"/>
      <c r="J70" s="561"/>
      <c r="K70" s="270"/>
      <c r="M70" s="409"/>
      <c r="N70" s="415"/>
      <c r="O70" s="415"/>
      <c r="P70" s="415"/>
      <c r="Q70" s="415"/>
      <c r="R70" s="795"/>
      <c r="S70" s="795"/>
      <c r="T70" s="795"/>
    </row>
    <row r="71" spans="1:20" hidden="1" x14ac:dyDescent="0.35">
      <c r="A71" s="269"/>
      <c r="B71" s="221" t="s">
        <v>1</v>
      </c>
      <c r="C71" s="222"/>
      <c r="D71" s="218"/>
      <c r="E71" s="520"/>
      <c r="F71" s="605"/>
      <c r="G71" s="220"/>
      <c r="H71" s="219"/>
      <c r="I71" s="216"/>
      <c r="J71" s="561"/>
      <c r="K71" s="270" t="s">
        <v>1</v>
      </c>
      <c r="M71" s="415"/>
      <c r="N71" s="415"/>
      <c r="O71" s="415"/>
      <c r="P71" s="415"/>
      <c r="Q71" s="415"/>
      <c r="R71" s="795"/>
      <c r="S71" s="795"/>
      <c r="T71" s="795"/>
    </row>
    <row r="72" spans="1:20" hidden="1" x14ac:dyDescent="0.35">
      <c r="A72" s="269"/>
      <c r="B72" s="221" t="s">
        <v>100</v>
      </c>
      <c r="C72" s="222"/>
      <c r="D72" s="218" t="s">
        <v>205</v>
      </c>
      <c r="E72" s="520"/>
      <c r="F72" s="605" t="s">
        <v>205</v>
      </c>
      <c r="G72" s="220" t="s">
        <v>205</v>
      </c>
      <c r="H72" s="219"/>
      <c r="I72" s="216"/>
      <c r="J72" s="561"/>
      <c r="K72" s="271">
        <v>9100033030416</v>
      </c>
      <c r="M72" s="415"/>
      <c r="N72" s="415"/>
      <c r="O72" s="415"/>
      <c r="P72" s="415"/>
      <c r="Q72" s="415"/>
      <c r="R72" s="795"/>
      <c r="S72" s="795"/>
      <c r="T72" s="795"/>
    </row>
    <row r="73" spans="1:20" hidden="1" x14ac:dyDescent="0.35">
      <c r="A73" s="269"/>
      <c r="B73" s="221" t="s">
        <v>1</v>
      </c>
      <c r="C73" s="222"/>
      <c r="D73" s="218"/>
      <c r="E73" s="520"/>
      <c r="F73" s="605"/>
      <c r="G73" s="220"/>
      <c r="H73" s="219"/>
      <c r="I73" s="216"/>
      <c r="J73" s="561"/>
      <c r="K73" s="275"/>
      <c r="M73" s="415"/>
      <c r="N73" s="415"/>
      <c r="O73" s="415"/>
      <c r="P73" s="415"/>
      <c r="Q73" s="415"/>
      <c r="R73" s="795"/>
      <c r="S73" s="795"/>
      <c r="T73" s="795"/>
    </row>
    <row r="74" spans="1:20" hidden="1" x14ac:dyDescent="0.35">
      <c r="A74" s="269"/>
      <c r="B74" s="221" t="str">
        <f>'Calc Sheet 23_24'!B919</f>
        <v>Levy for electricity consumed</v>
      </c>
      <c r="C74" s="222"/>
      <c r="D74" s="201">
        <f>'Calc Sheet 23_24'!H926</f>
        <v>111</v>
      </c>
      <c r="E74" s="521"/>
      <c r="F74" s="606">
        <f>+'Calc Sheet 23_24'!H926</f>
        <v>111</v>
      </c>
      <c r="G74" s="379">
        <f>'Calc Sheet 23_24'!I926</f>
        <v>111</v>
      </c>
      <c r="H74" s="228">
        <f>(G74-F74)/F74</f>
        <v>0</v>
      </c>
      <c r="I74" s="229">
        <f>G74*I$3</f>
        <v>16.649999999999999</v>
      </c>
      <c r="J74" s="562">
        <f>G74+I74</f>
        <v>127.65</v>
      </c>
      <c r="K74" s="271">
        <v>9100033030416</v>
      </c>
      <c r="M74" s="746">
        <f>J74</f>
        <v>127.65</v>
      </c>
      <c r="N74" s="417">
        <f>+$M74*(1+'Unit tariffs'!$F$2)</f>
        <v>134.92605</v>
      </c>
      <c r="O74" s="417">
        <f>+$N74*(1+'Unit tariffs'!$F$2)</f>
        <v>142.61683485</v>
      </c>
      <c r="P74" s="417">
        <f>+$O74*(1+'Unit tariffs'!$F$2)</f>
        <v>150.74599443644999</v>
      </c>
      <c r="Q74" s="417">
        <f>+$P74*(1+'Unit tariffs'!$F$2)</f>
        <v>159.33851611932764</v>
      </c>
      <c r="R74" s="795"/>
      <c r="S74" s="795"/>
      <c r="T74" s="795"/>
    </row>
    <row r="75" spans="1:20" x14ac:dyDescent="0.35">
      <c r="A75" s="269"/>
      <c r="B75" s="221" t="s">
        <v>1</v>
      </c>
      <c r="C75" s="222"/>
      <c r="D75" s="201"/>
      <c r="E75" s="521"/>
      <c r="F75" s="606"/>
      <c r="G75" s="379"/>
      <c r="H75" s="242"/>
      <c r="I75" s="230"/>
      <c r="J75" s="224"/>
      <c r="K75" s="275"/>
      <c r="M75" s="417"/>
      <c r="N75" s="409"/>
      <c r="O75" s="409"/>
      <c r="P75" s="409"/>
      <c r="Q75" s="409"/>
      <c r="R75" s="795"/>
      <c r="S75" s="795"/>
      <c r="T75" s="795"/>
    </row>
    <row r="76" spans="1:20" x14ac:dyDescent="0.35">
      <c r="A76" s="269"/>
      <c r="B76" s="221"/>
      <c r="C76" s="222"/>
      <c r="D76" s="218"/>
      <c r="E76" s="520"/>
      <c r="F76" s="605"/>
      <c r="G76" s="220"/>
      <c r="H76" s="219"/>
      <c r="I76" s="216"/>
      <c r="J76" s="561"/>
      <c r="K76" s="270"/>
      <c r="M76" s="409"/>
      <c r="N76" s="415"/>
      <c r="O76" s="415"/>
      <c r="P76" s="415"/>
      <c r="Q76" s="415"/>
      <c r="R76" s="795"/>
      <c r="S76" s="795"/>
      <c r="T76" s="795"/>
    </row>
    <row r="77" spans="1:20" ht="16.5" customHeight="1" x14ac:dyDescent="0.35">
      <c r="A77" s="286"/>
      <c r="B77" s="287" t="str">
        <f>'Calc Sheet 23_24'!B934</f>
        <v xml:space="preserve">6. TEMPORARY CONNECTIONS - MAXIMUM PERIOD OF 12 MONTHS </v>
      </c>
      <c r="C77" s="288"/>
      <c r="D77" s="289" t="s">
        <v>1</v>
      </c>
      <c r="E77" s="525"/>
      <c r="F77" s="609" t="s">
        <v>1</v>
      </c>
      <c r="G77" s="382" t="s">
        <v>1</v>
      </c>
      <c r="H77" s="290"/>
      <c r="I77" s="291"/>
      <c r="J77" s="560"/>
      <c r="K77" s="310" t="s">
        <v>1</v>
      </c>
      <c r="M77" s="413"/>
      <c r="N77" s="413"/>
      <c r="O77" s="413"/>
      <c r="P77" s="413"/>
      <c r="Q77" s="413"/>
      <c r="R77" s="795"/>
      <c r="S77" s="795"/>
      <c r="T77" s="795"/>
    </row>
    <row r="78" spans="1:20" x14ac:dyDescent="0.35">
      <c r="A78" s="269"/>
      <c r="B78" s="221"/>
      <c r="C78" s="222"/>
      <c r="D78" s="201" t="s">
        <v>81</v>
      </c>
      <c r="E78" s="521"/>
      <c r="F78" s="606" t="s">
        <v>81</v>
      </c>
      <c r="G78" s="379" t="s">
        <v>81</v>
      </c>
      <c r="H78" s="219"/>
      <c r="I78" s="216"/>
      <c r="J78" s="561"/>
      <c r="K78" s="270"/>
      <c r="M78" s="415"/>
      <c r="N78" s="415"/>
      <c r="O78" s="415"/>
      <c r="P78" s="415"/>
      <c r="Q78" s="415"/>
      <c r="R78" s="795"/>
      <c r="S78" s="795"/>
      <c r="T78" s="795"/>
    </row>
    <row r="79" spans="1:20" x14ac:dyDescent="0.35">
      <c r="A79" s="269"/>
      <c r="B79" s="221" t="s">
        <v>82</v>
      </c>
      <c r="C79" s="222"/>
      <c r="D79" s="201"/>
      <c r="E79" s="521"/>
      <c r="F79" s="606"/>
      <c r="G79" s="379"/>
      <c r="H79" s="219"/>
      <c r="I79" s="216"/>
      <c r="J79" s="561"/>
      <c r="K79" s="270"/>
      <c r="M79" s="415"/>
      <c r="N79" s="415"/>
      <c r="O79" s="415"/>
      <c r="P79" s="415"/>
      <c r="Q79" s="415"/>
      <c r="R79" s="795"/>
      <c r="S79" s="795"/>
      <c r="T79" s="795"/>
    </row>
    <row r="80" spans="1:20" x14ac:dyDescent="0.35">
      <c r="A80" s="269"/>
      <c r="B80" s="221" t="s">
        <v>83</v>
      </c>
      <c r="C80" s="222"/>
      <c r="D80" s="201"/>
      <c r="E80" s="521"/>
      <c r="F80" s="606"/>
      <c r="G80" s="379"/>
      <c r="H80" s="219"/>
      <c r="I80" s="216"/>
      <c r="J80" s="561"/>
      <c r="K80" s="270"/>
      <c r="M80" s="415"/>
      <c r="N80" s="415"/>
      <c r="O80" s="415"/>
      <c r="P80" s="415"/>
      <c r="Q80" s="415"/>
      <c r="R80" s="795"/>
      <c r="S80" s="795"/>
      <c r="T80" s="795"/>
    </row>
    <row r="81" spans="1:20" x14ac:dyDescent="0.35">
      <c r="A81" s="269"/>
      <c r="B81" s="221" t="s">
        <v>84</v>
      </c>
      <c r="C81" s="222"/>
      <c r="D81" s="201"/>
      <c r="E81" s="521"/>
      <c r="F81" s="606"/>
      <c r="G81" s="379"/>
      <c r="H81" s="219"/>
      <c r="I81" s="216"/>
      <c r="J81" s="561"/>
      <c r="K81" s="270" t="s">
        <v>1</v>
      </c>
      <c r="M81" s="415"/>
      <c r="N81" s="415"/>
      <c r="O81" s="415"/>
      <c r="P81" s="415"/>
      <c r="Q81" s="415"/>
      <c r="R81" s="795"/>
      <c r="S81" s="795"/>
      <c r="T81" s="795"/>
    </row>
    <row r="82" spans="1:20" x14ac:dyDescent="0.35">
      <c r="A82" s="269"/>
      <c r="B82" s="221"/>
      <c r="C82" s="222"/>
      <c r="D82" s="201"/>
      <c r="E82" s="521"/>
      <c r="F82" s="606"/>
      <c r="G82" s="379"/>
      <c r="H82" s="219"/>
      <c r="I82" s="216"/>
      <c r="J82" s="561"/>
      <c r="K82" s="270"/>
      <c r="M82" s="415"/>
      <c r="N82" s="415"/>
      <c r="O82" s="415"/>
      <c r="P82" s="415"/>
      <c r="Q82" s="415"/>
      <c r="R82" s="795"/>
      <c r="S82" s="795"/>
      <c r="T82" s="795"/>
    </row>
    <row r="83" spans="1:20" ht="38.5" x14ac:dyDescent="0.35">
      <c r="A83" s="269"/>
      <c r="B83" s="221" t="str">
        <f>'Calc Sheet 23_24'!B936</f>
        <v>6.1 Temporary builders underground connection - Three phase 80 Ampère Prepaid meter only.  Please note: These connections would only be permitted  for a maximum period of 12 months after which it will be removed by CENTLEC. (Where a trench is not longer than 12m)</v>
      </c>
      <c r="C83" s="222"/>
      <c r="D83" s="201">
        <f>'Calc Sheet 23_24'!H972</f>
        <v>27870</v>
      </c>
      <c r="E83" s="521">
        <v>25880</v>
      </c>
      <c r="F83" s="606">
        <f>+'Calc Sheet 23_24'!H972</f>
        <v>27870</v>
      </c>
      <c r="G83" s="379">
        <f>'Calc Sheet 23_24'!I972</f>
        <v>30220</v>
      </c>
      <c r="H83" s="228">
        <f>(G83-F83)/F83</f>
        <v>8.4320057409400795E-2</v>
      </c>
      <c r="I83" s="229">
        <f>G83*I$3</f>
        <v>4533</v>
      </c>
      <c r="J83" s="562">
        <f>G83+I83</f>
        <v>34753</v>
      </c>
      <c r="K83" s="271">
        <v>9100033030416</v>
      </c>
      <c r="M83" s="417">
        <f>J83+L83</f>
        <v>34753</v>
      </c>
      <c r="N83" s="417">
        <f>+$M83*(1+'Unit tariffs'!$F$2)</f>
        <v>36733.920999999995</v>
      </c>
      <c r="O83" s="417">
        <f>+$N83*(1+'Unit tariffs'!$F$2)</f>
        <v>38827.754496999994</v>
      </c>
      <c r="P83" s="417">
        <f>+$O83*(1+'Unit tariffs'!$F$2)</f>
        <v>41040.936503328994</v>
      </c>
      <c r="Q83" s="417">
        <f>+$P83*(1+'Unit tariffs'!$F$2)</f>
        <v>43380.269884018744</v>
      </c>
      <c r="R83" s="795" t="s">
        <v>633</v>
      </c>
      <c r="S83" s="795" t="s">
        <v>633</v>
      </c>
      <c r="T83" s="795" t="s">
        <v>633</v>
      </c>
    </row>
    <row r="84" spans="1:20" ht="12.75" customHeight="1" x14ac:dyDescent="0.35">
      <c r="A84" s="269"/>
      <c r="B84" s="221"/>
      <c r="C84" s="222"/>
      <c r="D84" s="201"/>
      <c r="E84" s="521"/>
      <c r="F84" s="606"/>
      <c r="G84" s="379"/>
      <c r="H84" s="228"/>
      <c r="I84" s="229"/>
      <c r="J84" s="562"/>
      <c r="K84" s="271"/>
      <c r="M84" s="417"/>
      <c r="N84" s="417"/>
      <c r="O84" s="417"/>
      <c r="P84" s="417"/>
      <c r="Q84" s="417"/>
      <c r="R84" s="795"/>
      <c r="S84" s="795"/>
      <c r="T84" s="795"/>
    </row>
    <row r="85" spans="1:20" ht="44.4" customHeight="1" x14ac:dyDescent="0.35">
      <c r="A85" s="269"/>
      <c r="B85" s="772" t="s">
        <v>332</v>
      </c>
      <c r="C85" s="222"/>
      <c r="D85" s="243"/>
      <c r="E85" s="522"/>
      <c r="F85" s="617"/>
      <c r="G85" s="385"/>
      <c r="H85" s="228"/>
      <c r="I85" s="229"/>
      <c r="J85" s="562"/>
      <c r="K85" s="271"/>
      <c r="M85" s="417"/>
      <c r="N85" s="417"/>
      <c r="O85" s="417"/>
      <c r="P85" s="417"/>
      <c r="Q85" s="417"/>
      <c r="R85" s="795"/>
      <c r="S85" s="795"/>
      <c r="T85" s="795"/>
    </row>
    <row r="86" spans="1:20" ht="6.75" customHeight="1" x14ac:dyDescent="0.35">
      <c r="A86" s="269"/>
      <c r="B86" s="221"/>
      <c r="C86" s="222"/>
      <c r="D86" s="243"/>
      <c r="E86" s="522"/>
      <c r="F86" s="617"/>
      <c r="G86" s="385"/>
      <c r="H86" s="228"/>
      <c r="I86" s="229"/>
      <c r="J86" s="562"/>
      <c r="K86" s="271"/>
      <c r="M86" s="417"/>
      <c r="N86" s="417"/>
      <c r="O86" s="417"/>
      <c r="P86" s="417"/>
      <c r="Q86" s="417"/>
      <c r="R86" s="795"/>
      <c r="S86" s="795"/>
      <c r="T86" s="795"/>
    </row>
    <row r="87" spans="1:20" ht="26" x14ac:dyDescent="0.35">
      <c r="A87" s="269"/>
      <c r="B87" s="221" t="str">
        <f>+'Calc Sheet 23_24'!B977:G977</f>
        <v>6.2.1 Temporary connection for a special event - Single phase 80Ampère P/P with over head Airdac - Church Crusades, Social, Cultural and community events, temporary creches, police stations, etc.</v>
      </c>
      <c r="C87" s="222"/>
      <c r="D87" s="240">
        <f>+'Calc Sheet 23_24'!H1008</f>
        <v>12100</v>
      </c>
      <c r="E87" s="533">
        <v>8260</v>
      </c>
      <c r="F87" s="616">
        <f>+'Calc Sheet 23_24'!H1008</f>
        <v>12100</v>
      </c>
      <c r="G87" s="384">
        <f>+'Calc Sheet 23_24'!I1008</f>
        <v>8150</v>
      </c>
      <c r="H87" s="228">
        <f>(G87-F87)/F87</f>
        <v>-0.32644628099173556</v>
      </c>
      <c r="I87" s="229">
        <f>G87*I$3</f>
        <v>1222.5</v>
      </c>
      <c r="J87" s="562">
        <f>G87+I87</f>
        <v>9372.5</v>
      </c>
      <c r="K87" s="271">
        <v>9100033030416</v>
      </c>
      <c r="M87" s="417">
        <f>J87+L87</f>
        <v>9372.5</v>
      </c>
      <c r="N87" s="417">
        <f>+$M87*(1+'Unit tariffs'!$F$2)</f>
        <v>9906.7325000000001</v>
      </c>
      <c r="O87" s="417">
        <f>+$N87*(1+'Unit tariffs'!$F$2)</f>
        <v>10471.416252499999</v>
      </c>
      <c r="P87" s="417">
        <f>+$O87*(1+'Unit tariffs'!$F$2)</f>
        <v>11068.286978892498</v>
      </c>
      <c r="Q87" s="417">
        <f>+$P87*(1+'Unit tariffs'!$F$2)</f>
        <v>11699.179336689371</v>
      </c>
      <c r="R87" s="795" t="s">
        <v>633</v>
      </c>
      <c r="S87" s="795" t="s">
        <v>633</v>
      </c>
      <c r="T87" s="795" t="s">
        <v>633</v>
      </c>
    </row>
    <row r="88" spans="1:20" ht="38.5" x14ac:dyDescent="0.35">
      <c r="A88" s="269"/>
      <c r="B88" s="221" t="str">
        <f>+'Calc Sheet 23_24'!B1011:G1011</f>
        <v>6.2.2 Temporary connection for a special event - Three phase 80Ampère P/P- Church Crusades, Social, Cultural and community events, temporary creches, police stations, Car wash ect (where a trench is not longer than 12m)</v>
      </c>
      <c r="C88" s="222"/>
      <c r="D88" s="240">
        <f>+'Calc Sheet 23_24'!H1009</f>
        <v>1.6556291390728477E-3</v>
      </c>
      <c r="E88" s="533">
        <v>25880</v>
      </c>
      <c r="F88" s="616">
        <f>+'Calc Sheet 23_24'!H1046</f>
        <v>38910</v>
      </c>
      <c r="G88" s="384">
        <f>+'Calc Sheet 23_24'!I1046</f>
        <v>44570</v>
      </c>
      <c r="H88" s="228">
        <f>(G88-F88)/F88</f>
        <v>0.14546389103058341</v>
      </c>
      <c r="I88" s="229">
        <f>G88*I$3</f>
        <v>6685.5</v>
      </c>
      <c r="J88" s="562">
        <f>G88+I88</f>
        <v>51255.5</v>
      </c>
      <c r="K88" s="271">
        <v>9100033030416</v>
      </c>
      <c r="M88" s="417">
        <f>J88+L88</f>
        <v>51255.5</v>
      </c>
      <c r="N88" s="417">
        <f>+$M88*(1+'Unit tariffs'!$F$2)</f>
        <v>54177.063499999997</v>
      </c>
      <c r="O88" s="417">
        <f>+$N88*(1+'Unit tariffs'!$F$2)</f>
        <v>57265.156119499996</v>
      </c>
      <c r="P88" s="417">
        <f>+$O88*(1+'Unit tariffs'!$F$2)</f>
        <v>60529.270018311494</v>
      </c>
      <c r="Q88" s="417">
        <f>+$P88*(1+'Unit tariffs'!$F$2)</f>
        <v>63979.438409355243</v>
      </c>
      <c r="R88" s="795" t="s">
        <v>633</v>
      </c>
      <c r="S88" s="795" t="s">
        <v>633</v>
      </c>
      <c r="T88" s="795" t="s">
        <v>633</v>
      </c>
    </row>
    <row r="89" spans="1:20" ht="44" customHeight="1" x14ac:dyDescent="0.35">
      <c r="A89" s="338"/>
      <c r="B89" s="339" t="str">
        <f>+'Calc Sheet 23_24'!B1049:G1049</f>
        <v>6.2.3 Temporary connection for a special event - Three phase 80Ampère P/P- Car wash etc (Subsidised sites)</v>
      </c>
      <c r="C89" s="340"/>
      <c r="D89" s="240">
        <f>+'Calc Sheet 23_24'!H1010</f>
        <v>0</v>
      </c>
      <c r="E89" s="535">
        <v>20525</v>
      </c>
      <c r="F89" s="618">
        <f>+'Calc Sheet 23_24'!H1084</f>
        <v>38200</v>
      </c>
      <c r="G89" s="513">
        <f>+'Calc Sheet 23_24'!I1084</f>
        <v>41250</v>
      </c>
      <c r="H89" s="228">
        <f>(G89-F89)/F89</f>
        <v>7.9842931937172776E-2</v>
      </c>
      <c r="I89" s="229">
        <f>G89*I$3</f>
        <v>6187.5</v>
      </c>
      <c r="J89" s="562">
        <f>G89+I89</f>
        <v>47437.5</v>
      </c>
      <c r="K89" s="341">
        <v>9100033030416</v>
      </c>
      <c r="M89" s="417">
        <f>J89+L89</f>
        <v>47437.5</v>
      </c>
      <c r="N89" s="417">
        <f>+$M89*(1+'Unit tariffs'!$F$2)</f>
        <v>50141.4375</v>
      </c>
      <c r="O89" s="417">
        <f>+$N89*(1+'Unit tariffs'!$F$2)</f>
        <v>52999.499437499995</v>
      </c>
      <c r="P89" s="417">
        <f>+$O89*(1+'Unit tariffs'!$F$2)</f>
        <v>56020.470905437491</v>
      </c>
      <c r="Q89" s="417">
        <f>+$P89*(1+'Unit tariffs'!$F$2)</f>
        <v>59213.637747047425</v>
      </c>
      <c r="R89" s="795" t="s">
        <v>633</v>
      </c>
      <c r="S89" s="795" t="s">
        <v>633</v>
      </c>
      <c r="T89" s="795" t="s">
        <v>633</v>
      </c>
    </row>
    <row r="90" spans="1:20" ht="15" thickBot="1" x14ac:dyDescent="0.4">
      <c r="A90" s="364"/>
      <c r="B90" s="373"/>
      <c r="C90" s="279"/>
      <c r="D90" s="281"/>
      <c r="E90" s="524"/>
      <c r="F90" s="608"/>
      <c r="G90" s="284"/>
      <c r="H90" s="282"/>
      <c r="I90" s="283"/>
      <c r="J90" s="564"/>
      <c r="K90" s="285"/>
      <c r="M90" s="421"/>
      <c r="N90" s="421"/>
      <c r="O90" s="421"/>
      <c r="P90" s="421"/>
      <c r="Q90" s="421"/>
      <c r="R90" s="795"/>
      <c r="S90" s="795"/>
      <c r="T90" s="795"/>
    </row>
    <row r="91" spans="1:20" ht="16.5" customHeight="1" x14ac:dyDescent="0.35">
      <c r="A91" s="261"/>
      <c r="B91" s="262" t="str">
        <f>$B1</f>
        <v>CENTLEC : ELECTRICITY SERVICES COSTS FOR MOHOKARE MUNIC</v>
      </c>
      <c r="C91" s="263"/>
      <c r="D91" s="264"/>
      <c r="E91" s="534"/>
      <c r="F91" s="601"/>
      <c r="G91" s="267"/>
      <c r="H91" s="265"/>
      <c r="I91" s="266"/>
      <c r="J91" s="559"/>
      <c r="K91" s="268"/>
      <c r="M91" s="407"/>
      <c r="N91" s="407"/>
      <c r="O91" s="407"/>
      <c r="P91" s="407"/>
      <c r="Q91" s="407"/>
      <c r="R91" s="795"/>
      <c r="S91" s="795"/>
      <c r="T91" s="795"/>
    </row>
    <row r="92" spans="1:20" x14ac:dyDescent="0.35">
      <c r="A92" s="269"/>
      <c r="B92" s="227" t="s">
        <v>1</v>
      </c>
      <c r="C92" s="226"/>
      <c r="D92" s="328" t="s">
        <v>74</v>
      </c>
      <c r="E92" s="516"/>
      <c r="F92" s="602" t="s">
        <v>74</v>
      </c>
      <c r="G92" s="224" t="s">
        <v>74</v>
      </c>
      <c r="H92" s="327" t="s">
        <v>85</v>
      </c>
      <c r="I92" s="52" t="s">
        <v>441</v>
      </c>
      <c r="J92" s="224" t="s">
        <v>138</v>
      </c>
      <c r="K92" s="325" t="s">
        <v>75</v>
      </c>
      <c r="M92" s="667" t="s">
        <v>138</v>
      </c>
      <c r="N92" s="667" t="s">
        <v>138</v>
      </c>
      <c r="O92" s="667" t="s">
        <v>138</v>
      </c>
      <c r="P92" s="667" t="s">
        <v>138</v>
      </c>
      <c r="Q92" s="667" t="s">
        <v>138</v>
      </c>
      <c r="R92" s="795"/>
      <c r="S92" s="795"/>
      <c r="T92" s="795"/>
    </row>
    <row r="93" spans="1:20" x14ac:dyDescent="0.35">
      <c r="A93" s="269"/>
      <c r="B93" s="225" t="s">
        <v>76</v>
      </c>
      <c r="C93" s="226"/>
      <c r="D93" s="328" t="s">
        <v>77</v>
      </c>
      <c r="E93" s="516"/>
      <c r="F93" s="602" t="s">
        <v>77</v>
      </c>
      <c r="G93" s="224" t="s">
        <v>77</v>
      </c>
      <c r="H93" s="327" t="s">
        <v>86</v>
      </c>
      <c r="I93" s="643">
        <f>+'Unit tariffs'!F$3</f>
        <v>0.15</v>
      </c>
      <c r="J93" s="224" t="s">
        <v>139</v>
      </c>
      <c r="K93" s="325" t="s">
        <v>78</v>
      </c>
      <c r="M93" s="667" t="s">
        <v>139</v>
      </c>
      <c r="N93" s="667" t="s">
        <v>139</v>
      </c>
      <c r="O93" s="667" t="s">
        <v>139</v>
      </c>
      <c r="P93" s="667" t="s">
        <v>139</v>
      </c>
      <c r="Q93" s="667" t="s">
        <v>139</v>
      </c>
      <c r="R93" s="795"/>
      <c r="S93" s="795"/>
      <c r="T93" s="795"/>
    </row>
    <row r="94" spans="1:20" x14ac:dyDescent="0.35">
      <c r="A94" s="269"/>
      <c r="B94" s="227" t="s">
        <v>1</v>
      </c>
      <c r="C94" s="226"/>
      <c r="D94" s="328" t="str">
        <f>D$4</f>
        <v>2016/2017</v>
      </c>
      <c r="E94" s="516"/>
      <c r="F94" s="665" t="str">
        <f>'Calc Sheet 23_24'!$H$11</f>
        <v>2025/2026</v>
      </c>
      <c r="G94" s="224" t="str">
        <f>'Calc Sheet 23_24'!$I$11</f>
        <v>2026/2027</v>
      </c>
      <c r="H94" s="327" t="str">
        <f>G94</f>
        <v>2026/2027</v>
      </c>
      <c r="I94" s="52" t="str">
        <f>G94</f>
        <v>2026/2027</v>
      </c>
      <c r="J94" s="224" t="str">
        <f>I94</f>
        <v>2026/2027</v>
      </c>
      <c r="K94" s="325" t="s">
        <v>79</v>
      </c>
      <c r="M94" s="667" t="s">
        <v>451</v>
      </c>
      <c r="N94" s="667" t="s">
        <v>578</v>
      </c>
      <c r="O94" s="667" t="s">
        <v>579</v>
      </c>
      <c r="P94" s="667" t="s">
        <v>580</v>
      </c>
      <c r="Q94" s="667" t="s">
        <v>620</v>
      </c>
      <c r="R94" s="795"/>
      <c r="S94" s="795"/>
      <c r="T94" s="795"/>
    </row>
    <row r="95" spans="1:20" ht="15" thickBot="1" x14ac:dyDescent="0.4">
      <c r="A95" s="293"/>
      <c r="B95" s="294" t="s">
        <v>1</v>
      </c>
      <c r="C95" s="295"/>
      <c r="D95" s="331" t="s">
        <v>80</v>
      </c>
      <c r="E95" s="517"/>
      <c r="F95" s="603" t="s">
        <v>80</v>
      </c>
      <c r="G95" s="334" t="s">
        <v>80</v>
      </c>
      <c r="H95" s="332"/>
      <c r="I95" s="333"/>
      <c r="J95" s="334"/>
      <c r="K95" s="335"/>
      <c r="M95" s="411"/>
      <c r="N95" s="411"/>
      <c r="O95" s="411"/>
      <c r="P95" s="411"/>
      <c r="Q95" s="411"/>
      <c r="R95" s="795"/>
      <c r="S95" s="795"/>
      <c r="T95" s="795"/>
    </row>
    <row r="96" spans="1:20" ht="15" thickTop="1" x14ac:dyDescent="0.35">
      <c r="A96" s="286"/>
      <c r="B96" s="287" t="str">
        <f>'Calc Sheet 23_24'!B1089</f>
        <v>7. ALTERATIONS TO ELECTRICITY SERVICES</v>
      </c>
      <c r="C96" s="288"/>
      <c r="D96" s="289" t="s">
        <v>1</v>
      </c>
      <c r="E96" s="525"/>
      <c r="F96" s="609" t="s">
        <v>1</v>
      </c>
      <c r="G96" s="382" t="s">
        <v>1</v>
      </c>
      <c r="H96" s="290" t="s">
        <v>1</v>
      </c>
      <c r="I96" s="291"/>
      <c r="J96" s="560"/>
      <c r="K96" s="310"/>
      <c r="L96" s="1"/>
      <c r="M96" s="413"/>
      <c r="N96" s="413"/>
      <c r="O96" s="413"/>
      <c r="P96" s="413"/>
      <c r="Q96" s="413"/>
      <c r="R96" s="795"/>
      <c r="S96" s="795"/>
      <c r="T96" s="795"/>
    </row>
    <row r="97" spans="1:20" x14ac:dyDescent="0.35">
      <c r="A97" s="269"/>
      <c r="B97" s="221" t="s">
        <v>1</v>
      </c>
      <c r="C97" s="222"/>
      <c r="D97" s="201"/>
      <c r="E97" s="521"/>
      <c r="F97" s="606"/>
      <c r="G97" s="379"/>
      <c r="H97" s="219" t="s">
        <v>1</v>
      </c>
      <c r="I97" s="216"/>
      <c r="J97" s="561"/>
      <c r="K97" s="270"/>
      <c r="L97" s="1"/>
      <c r="M97" s="415"/>
      <c r="N97" s="415"/>
      <c r="O97" s="415"/>
      <c r="P97" s="415"/>
      <c r="Q97" s="415"/>
      <c r="R97" s="795"/>
      <c r="S97" s="795"/>
      <c r="T97" s="795"/>
    </row>
    <row r="98" spans="1:20" ht="26" x14ac:dyDescent="0.35">
      <c r="A98" s="269"/>
      <c r="B98" s="221" t="str">
        <f>'Calc Sheet 23_24'!B1091</f>
        <v>7.1.1 Conversion of a single register meter to Single phase Pre-payment where meterbox exist on erf boundary - ( No charge for Prepayment  meter)</v>
      </c>
      <c r="C98" s="222"/>
      <c r="D98" s="201">
        <f>'Calc Sheet 23_24'!H1113</f>
        <v>2060</v>
      </c>
      <c r="E98" s="521">
        <v>1410</v>
      </c>
      <c r="F98" s="606">
        <f>'Calc Sheet 23_24'!H1113</f>
        <v>2060</v>
      </c>
      <c r="G98" s="379">
        <f>'Calc Sheet 23_24'!I1113</f>
        <v>2330</v>
      </c>
      <c r="H98" s="228">
        <f t="shared" ref="H98:H105" si="1">(G98-F98)/F98</f>
        <v>0.13106796116504854</v>
      </c>
      <c r="I98" s="229">
        <f t="shared" ref="I98:I109" si="2">G98*I$3</f>
        <v>349.5</v>
      </c>
      <c r="J98" s="562">
        <f t="shared" ref="J98:J109" si="3">G98+I98</f>
        <v>2679.5</v>
      </c>
      <c r="K98" s="271">
        <v>9100033030416</v>
      </c>
      <c r="L98" s="1"/>
      <c r="M98" s="417">
        <f t="shared" ref="M98:M109" si="4">J98+L98</f>
        <v>2679.5</v>
      </c>
      <c r="N98" s="417">
        <f>+$M98*(1+'Unit tariffs'!$F$2)</f>
        <v>2832.2314999999999</v>
      </c>
      <c r="O98" s="417">
        <f>+$N98*(1+'Unit tariffs'!$F$2)</f>
        <v>2993.6686954999996</v>
      </c>
      <c r="P98" s="417">
        <f>+$O98*(1+'Unit tariffs'!$F$2)</f>
        <v>3164.3078111434993</v>
      </c>
      <c r="Q98" s="417">
        <f>+$P98*(1+'Unit tariffs'!$F$2)</f>
        <v>3344.6733563786784</v>
      </c>
      <c r="R98" s="795" t="s">
        <v>633</v>
      </c>
      <c r="S98" s="795" t="s">
        <v>633</v>
      </c>
      <c r="T98" s="795" t="s">
        <v>633</v>
      </c>
    </row>
    <row r="99" spans="1:20" ht="26" x14ac:dyDescent="0.35">
      <c r="A99" s="269"/>
      <c r="B99" s="221" t="str">
        <f>'Calc Sheet 23_24'!B1120</f>
        <v>7.1.2 Conversion of Three phase (TOU/kWH) connection to Prepayment meter - Existing meterbox on erf boundary</v>
      </c>
      <c r="C99" s="222" t="s">
        <v>295</v>
      </c>
      <c r="D99" s="201">
        <f>'Calc Sheet 23_24'!H1143</f>
        <v>1810</v>
      </c>
      <c r="E99" s="521">
        <v>9390</v>
      </c>
      <c r="F99" s="606">
        <f>'Calc Sheet 23_24'!H1143</f>
        <v>1810</v>
      </c>
      <c r="G99" s="379">
        <f>'Calc Sheet 23_24'!I1143</f>
        <v>2030</v>
      </c>
      <c r="H99" s="228">
        <f t="shared" si="1"/>
        <v>0.12154696132596685</v>
      </c>
      <c r="I99" s="229">
        <f t="shared" si="2"/>
        <v>304.5</v>
      </c>
      <c r="J99" s="562">
        <f t="shared" si="3"/>
        <v>2334.5</v>
      </c>
      <c r="K99" s="271">
        <v>9100033030416</v>
      </c>
      <c r="L99" s="1"/>
      <c r="M99" s="417">
        <f t="shared" si="4"/>
        <v>2334.5</v>
      </c>
      <c r="N99" s="417">
        <f>+$M99*(1+'Unit tariffs'!$F$2)</f>
        <v>2467.5664999999999</v>
      </c>
      <c r="O99" s="417">
        <f>+$N99*(1+'Unit tariffs'!$F$2)</f>
        <v>2608.2177904999999</v>
      </c>
      <c r="P99" s="417">
        <f>+$O99*(1+'Unit tariffs'!$F$2)</f>
        <v>2756.8862045584997</v>
      </c>
      <c r="Q99" s="417">
        <f>+$P99*(1+'Unit tariffs'!$F$2)</f>
        <v>2914.0287182183338</v>
      </c>
      <c r="R99" s="795" t="s">
        <v>633</v>
      </c>
      <c r="S99" s="795" t="s">
        <v>633</v>
      </c>
      <c r="T99" s="795" t="s">
        <v>633</v>
      </c>
    </row>
    <row r="100" spans="1:20" x14ac:dyDescent="0.35">
      <c r="A100" s="269"/>
      <c r="B100" s="221" t="str">
        <f>'Calc Sheet 23_24'!B1149</f>
        <v xml:space="preserve">7.1.3 Upgrade of single phase Urban connection to three phase - Time of Use Meter(TOU)            </v>
      </c>
      <c r="C100" s="222" t="s">
        <v>295</v>
      </c>
      <c r="D100" s="201">
        <f>'Calc Sheet 23_24'!H1181</f>
        <v>21350</v>
      </c>
      <c r="E100" s="521">
        <v>18190</v>
      </c>
      <c r="F100" s="606">
        <f>'Calc Sheet 23_24'!H1181</f>
        <v>21350</v>
      </c>
      <c r="G100" s="379">
        <f>'Calc Sheet 23_24'!I1181</f>
        <v>13790</v>
      </c>
      <c r="H100" s="228">
        <f t="shared" si="1"/>
        <v>-0.35409836065573769</v>
      </c>
      <c r="I100" s="229">
        <f t="shared" si="2"/>
        <v>2068.5</v>
      </c>
      <c r="J100" s="562">
        <f t="shared" si="3"/>
        <v>15858.5</v>
      </c>
      <c r="K100" s="271">
        <v>9100033030416</v>
      </c>
      <c r="L100" s="1"/>
      <c r="M100" s="417">
        <f t="shared" si="4"/>
        <v>15858.5</v>
      </c>
      <c r="N100" s="417">
        <f>+$M100*(1+'Unit tariffs'!$F$2)</f>
        <v>16762.434499999999</v>
      </c>
      <c r="O100" s="417">
        <f>+$N100*(1+'Unit tariffs'!$F$2)</f>
        <v>17717.893266499999</v>
      </c>
      <c r="P100" s="417">
        <f>+$O100*(1+'Unit tariffs'!$F$2)</f>
        <v>18727.813182690497</v>
      </c>
      <c r="Q100" s="417">
        <f>+$P100*(1+'Unit tariffs'!$F$2)</f>
        <v>19795.298534103855</v>
      </c>
      <c r="R100" s="795" t="s">
        <v>633</v>
      </c>
      <c r="S100" s="795" t="s">
        <v>633</v>
      </c>
      <c r="T100" s="795" t="s">
        <v>633</v>
      </c>
    </row>
    <row r="101" spans="1:20" x14ac:dyDescent="0.35">
      <c r="A101" s="269"/>
      <c r="B101" s="221" t="str">
        <f>'Calc Sheet 23_24'!B1186</f>
        <v xml:space="preserve">7.1.4 Upgrade of single phase Urban connection to three phase - Split pre-payment meter             </v>
      </c>
      <c r="C101" s="222" t="s">
        <v>295</v>
      </c>
      <c r="D101" s="201">
        <f>'Calc Sheet 23_24'!H1217</f>
        <v>13670</v>
      </c>
      <c r="E101" s="521">
        <v>10960</v>
      </c>
      <c r="F101" s="606">
        <f>'Calc Sheet 23_24'!H1217</f>
        <v>13670</v>
      </c>
      <c r="G101" s="379">
        <f>'Calc Sheet 23_24'!I1217</f>
        <v>14760</v>
      </c>
      <c r="H101" s="228">
        <f t="shared" si="1"/>
        <v>7.9736649597659109E-2</v>
      </c>
      <c r="I101" s="229">
        <f t="shared" si="2"/>
        <v>2214</v>
      </c>
      <c r="J101" s="562">
        <f t="shared" si="3"/>
        <v>16974</v>
      </c>
      <c r="K101" s="271">
        <v>9100033030416</v>
      </c>
      <c r="L101" s="1"/>
      <c r="M101" s="417">
        <f t="shared" si="4"/>
        <v>16974</v>
      </c>
      <c r="N101" s="417">
        <f>+$M101*(1+'Unit tariffs'!$F$2)</f>
        <v>17941.518</v>
      </c>
      <c r="O101" s="417">
        <f>+$N101*(1+'Unit tariffs'!$F$2)</f>
        <v>18964.184525999997</v>
      </c>
      <c r="P101" s="417">
        <f>+$O101*(1+'Unit tariffs'!$F$2)</f>
        <v>20045.143043981996</v>
      </c>
      <c r="Q101" s="417">
        <f>+$P101*(1+'Unit tariffs'!$F$2)</f>
        <v>21187.716197488968</v>
      </c>
      <c r="R101" s="795" t="s">
        <v>633</v>
      </c>
      <c r="S101" s="795" t="s">
        <v>633</v>
      </c>
      <c r="T101" s="795" t="s">
        <v>633</v>
      </c>
    </row>
    <row r="102" spans="1:20" x14ac:dyDescent="0.35">
      <c r="A102" s="269"/>
      <c r="B102" s="221" t="str">
        <f>'Calc Sheet 23_24'!B1223</f>
        <v xml:space="preserve">8.1.5 Upgrading of single phase Urban connection to three phase - Time of Use Meter(TOU)            </v>
      </c>
      <c r="C102" s="222" t="s">
        <v>295</v>
      </c>
      <c r="D102" s="201">
        <f>'Calc Sheet 23_24'!H1254</f>
        <v>18400</v>
      </c>
      <c r="E102" s="521">
        <v>15890</v>
      </c>
      <c r="F102" s="606">
        <f>'Calc Sheet 23_24'!H1254</f>
        <v>18400</v>
      </c>
      <c r="G102" s="379">
        <f>'Calc Sheet 23_24'!I1254</f>
        <v>10460</v>
      </c>
      <c r="H102" s="228">
        <f t="shared" si="1"/>
        <v>-0.43152173913043479</v>
      </c>
      <c r="I102" s="229">
        <f t="shared" si="2"/>
        <v>1569</v>
      </c>
      <c r="J102" s="562">
        <f t="shared" si="3"/>
        <v>12029</v>
      </c>
      <c r="K102" s="271">
        <v>9100033030416</v>
      </c>
      <c r="L102" s="1"/>
      <c r="M102" s="417">
        <f t="shared" si="4"/>
        <v>12029</v>
      </c>
      <c r="N102" s="417">
        <f>+$M102*(1+'Unit tariffs'!$F$2)</f>
        <v>12714.652999999998</v>
      </c>
      <c r="O102" s="417">
        <f>+$N102*(1+'Unit tariffs'!$F$2)</f>
        <v>13439.388220999997</v>
      </c>
      <c r="P102" s="417">
        <f>+$O102*(1+'Unit tariffs'!$F$2)</f>
        <v>14205.433349596997</v>
      </c>
      <c r="Q102" s="417">
        <f>+$P102*(1+'Unit tariffs'!$F$2)</f>
        <v>15015.143050524024</v>
      </c>
      <c r="R102" s="795" t="s">
        <v>633</v>
      </c>
      <c r="S102" s="795" t="s">
        <v>633</v>
      </c>
      <c r="T102" s="795" t="s">
        <v>633</v>
      </c>
    </row>
    <row r="103" spans="1:20" x14ac:dyDescent="0.35">
      <c r="A103" s="269"/>
      <c r="B103" s="221" t="str">
        <f>'Calc Sheet 23_24'!B1258</f>
        <v xml:space="preserve">7.1.6 Upgrade of single phase Urban connection to three phase - Split pre-payment meter            </v>
      </c>
      <c r="C103" s="222" t="s">
        <v>295</v>
      </c>
      <c r="D103" s="201">
        <f>'Calc Sheet 23_24'!H1288</f>
        <v>16290</v>
      </c>
      <c r="E103" s="521">
        <v>14355</v>
      </c>
      <c r="F103" s="606">
        <f>'Calc Sheet 23_24'!H1288</f>
        <v>16290</v>
      </c>
      <c r="G103" s="379">
        <f>'Calc Sheet 23_24'!I1288</f>
        <v>10090</v>
      </c>
      <c r="H103" s="228">
        <f t="shared" si="1"/>
        <v>-0.38060159607120936</v>
      </c>
      <c r="I103" s="229">
        <f t="shared" si="2"/>
        <v>1513.5</v>
      </c>
      <c r="J103" s="562">
        <f t="shared" si="3"/>
        <v>11603.5</v>
      </c>
      <c r="K103" s="271">
        <v>9100033030416</v>
      </c>
      <c r="M103" s="417">
        <f t="shared" si="4"/>
        <v>11603.5</v>
      </c>
      <c r="N103" s="417">
        <f>+$M103*(1+'Unit tariffs'!$F$2)</f>
        <v>12264.8995</v>
      </c>
      <c r="O103" s="417">
        <f>+$N103*(1+'Unit tariffs'!$F$2)</f>
        <v>12963.998771499999</v>
      </c>
      <c r="P103" s="417">
        <f>+$O103*(1+'Unit tariffs'!$F$2)</f>
        <v>13702.946701475497</v>
      </c>
      <c r="Q103" s="417">
        <f>+$P103*(1+'Unit tariffs'!$F$2)</f>
        <v>14484.0146634596</v>
      </c>
      <c r="R103" s="795" t="s">
        <v>633</v>
      </c>
      <c r="S103" s="795" t="s">
        <v>633</v>
      </c>
      <c r="T103" s="795" t="s">
        <v>633</v>
      </c>
    </row>
    <row r="104" spans="1:20" x14ac:dyDescent="0.35">
      <c r="A104" s="269"/>
      <c r="B104" s="221" t="str">
        <f>'Calc Sheet 23_24'!B1293</f>
        <v xml:space="preserve">7.1.7 Upgrade of single phase Peri-Urban connection to three phase -Time of Use Meter(TOU)  </v>
      </c>
      <c r="C104" s="222" t="s">
        <v>297</v>
      </c>
      <c r="D104" s="201">
        <f>'Calc Sheet 23_24'!H1325</f>
        <v>22900</v>
      </c>
      <c r="E104" s="521">
        <v>20570</v>
      </c>
      <c r="F104" s="606">
        <f>'Calc Sheet 23_24'!H1325</f>
        <v>22900</v>
      </c>
      <c r="G104" s="379">
        <f>'Calc Sheet 23_24'!I1325</f>
        <v>19730</v>
      </c>
      <c r="H104" s="228">
        <f t="shared" si="1"/>
        <v>-0.13842794759825328</v>
      </c>
      <c r="I104" s="229">
        <f t="shared" si="2"/>
        <v>2959.5</v>
      </c>
      <c r="J104" s="562">
        <f t="shared" si="3"/>
        <v>22689.5</v>
      </c>
      <c r="K104" s="271">
        <v>9100033030416</v>
      </c>
      <c r="M104" s="417">
        <f t="shared" si="4"/>
        <v>22689.5</v>
      </c>
      <c r="N104" s="417">
        <f>+$M104*(1+'Unit tariffs'!$F$2)</f>
        <v>23982.801499999998</v>
      </c>
      <c r="O104" s="417">
        <f>+$N104*(1+'Unit tariffs'!$F$2)</f>
        <v>25349.821185499997</v>
      </c>
      <c r="P104" s="417">
        <f>+$O104*(1+'Unit tariffs'!$F$2)</f>
        <v>26794.760993073494</v>
      </c>
      <c r="Q104" s="417">
        <f>+$P104*(1+'Unit tariffs'!$F$2)</f>
        <v>28322.062369678682</v>
      </c>
      <c r="R104" s="795" t="s">
        <v>633</v>
      </c>
      <c r="S104" s="795" t="s">
        <v>633</v>
      </c>
      <c r="T104" s="795" t="s">
        <v>633</v>
      </c>
    </row>
    <row r="105" spans="1:20" x14ac:dyDescent="0.35">
      <c r="A105" s="269"/>
      <c r="B105" s="221" t="str">
        <f>'Calc Sheet 23_24'!B1330</f>
        <v xml:space="preserve">7.1.8 Upgrade of single phase Peri-Urban connection to three phase -Split pre-payment meter    </v>
      </c>
      <c r="C105" s="222" t="s">
        <v>297</v>
      </c>
      <c r="D105" s="201">
        <f>'Calc Sheet 23_24'!H1362</f>
        <v>24860</v>
      </c>
      <c r="E105" s="521">
        <v>23200</v>
      </c>
      <c r="F105" s="606">
        <f>'Calc Sheet 23_24'!H1362</f>
        <v>24860</v>
      </c>
      <c r="G105" s="379">
        <f>'Calc Sheet 23_24'!I1362</f>
        <v>19730</v>
      </c>
      <c r="H105" s="228">
        <f t="shared" si="1"/>
        <v>-0.20635559131134351</v>
      </c>
      <c r="I105" s="229">
        <f t="shared" si="2"/>
        <v>2959.5</v>
      </c>
      <c r="J105" s="562">
        <f t="shared" si="3"/>
        <v>22689.5</v>
      </c>
      <c r="K105" s="271">
        <v>9100033030416</v>
      </c>
      <c r="M105" s="417">
        <f t="shared" si="4"/>
        <v>22689.5</v>
      </c>
      <c r="N105" s="417">
        <f>+$M105*(1+'Unit tariffs'!$F$2)</f>
        <v>23982.801499999998</v>
      </c>
      <c r="O105" s="417">
        <f>+$N105*(1+'Unit tariffs'!$F$2)</f>
        <v>25349.821185499997</v>
      </c>
      <c r="P105" s="417">
        <f>+$O105*(1+'Unit tariffs'!$F$2)</f>
        <v>26794.760993073494</v>
      </c>
      <c r="Q105" s="417">
        <f>+$P105*(1+'Unit tariffs'!$F$2)</f>
        <v>28322.062369678682</v>
      </c>
      <c r="R105" s="795" t="s">
        <v>633</v>
      </c>
      <c r="S105" s="795" t="s">
        <v>633</v>
      </c>
      <c r="T105" s="795" t="s">
        <v>633</v>
      </c>
    </row>
    <row r="106" spans="1:20" x14ac:dyDescent="0.35">
      <c r="A106" s="269"/>
      <c r="B106" s="221" t="str">
        <f>'Calc Sheet 23_24'!B1367</f>
        <v xml:space="preserve">7.1.9 Upgrade of single phase Peri-Urban connection to three phase -Time of Use Meter(TOU)  </v>
      </c>
      <c r="C106" s="222" t="s">
        <v>297</v>
      </c>
      <c r="D106" s="201">
        <f>'Calc Sheet 23_24'!H1399</f>
        <v>23860</v>
      </c>
      <c r="E106" s="521">
        <v>18810</v>
      </c>
      <c r="F106" s="606">
        <f>'Calc Sheet 23_24'!H1399</f>
        <v>23860</v>
      </c>
      <c r="G106" s="379">
        <f>'Calc Sheet 23_24'!I1399</f>
        <v>16550</v>
      </c>
      <c r="H106" s="228">
        <f t="shared" ref="H106" si="5">(G106-D106)/D106</f>
        <v>-0.30637049455155069</v>
      </c>
      <c r="I106" s="229">
        <f t="shared" si="2"/>
        <v>2482.5</v>
      </c>
      <c r="J106" s="562">
        <f t="shared" si="3"/>
        <v>19032.5</v>
      </c>
      <c r="K106" s="271">
        <v>9100033030416</v>
      </c>
      <c r="M106" s="417">
        <f t="shared" si="4"/>
        <v>19032.5</v>
      </c>
      <c r="N106" s="417">
        <f>+$M106*(1+'Unit tariffs'!$F$2)</f>
        <v>20117.352499999997</v>
      </c>
      <c r="O106" s="417">
        <f>+$N106*(1+'Unit tariffs'!$F$2)</f>
        <v>21264.041592499994</v>
      </c>
      <c r="P106" s="417">
        <f>+$O106*(1+'Unit tariffs'!$F$2)</f>
        <v>22476.091963272494</v>
      </c>
      <c r="Q106" s="417">
        <f>+$P106*(1+'Unit tariffs'!$F$2)</f>
        <v>23757.229205179025</v>
      </c>
      <c r="R106" s="795" t="s">
        <v>633</v>
      </c>
      <c r="S106" s="795" t="s">
        <v>633</v>
      </c>
      <c r="T106" s="795" t="s">
        <v>633</v>
      </c>
    </row>
    <row r="107" spans="1:20" x14ac:dyDescent="0.35">
      <c r="A107" s="269"/>
      <c r="B107" s="221" t="str">
        <f>'Calc Sheet 23_24'!B1404</f>
        <v xml:space="preserve">7.1.10 Conversion of single phase Peri-Urban connection to three phase - Split pre-payment meter      </v>
      </c>
      <c r="C107" s="222" t="s">
        <v>297</v>
      </c>
      <c r="D107" s="201">
        <f>'Calc Sheet 23_24'!H1435</f>
        <v>21370</v>
      </c>
      <c r="E107" s="521">
        <v>20540</v>
      </c>
      <c r="F107" s="606">
        <f>'Calc Sheet 23_24'!H1435</f>
        <v>21370</v>
      </c>
      <c r="G107" s="379">
        <f>'Calc Sheet 23_24'!I1435</f>
        <v>15780</v>
      </c>
      <c r="H107" s="228">
        <f>(G107-F107)/F107</f>
        <v>-0.26158165652784277</v>
      </c>
      <c r="I107" s="229">
        <f t="shared" si="2"/>
        <v>2367</v>
      </c>
      <c r="J107" s="562">
        <f t="shared" si="3"/>
        <v>18147</v>
      </c>
      <c r="K107" s="271">
        <v>9100033030416</v>
      </c>
      <c r="M107" s="417">
        <f t="shared" si="4"/>
        <v>18147</v>
      </c>
      <c r="N107" s="417">
        <f>+$M107*(1+'Unit tariffs'!$F$2)</f>
        <v>19181.378999999997</v>
      </c>
      <c r="O107" s="417">
        <f>+$N107*(1+'Unit tariffs'!$F$2)</f>
        <v>20274.717602999997</v>
      </c>
      <c r="P107" s="417">
        <f>+$O107*(1+'Unit tariffs'!$F$2)</f>
        <v>21430.376506370994</v>
      </c>
      <c r="Q107" s="417">
        <f>+$P107*(1+'Unit tariffs'!$F$2)</f>
        <v>22651.90796723414</v>
      </c>
      <c r="R107" s="795" t="s">
        <v>633</v>
      </c>
      <c r="S107" s="795" t="s">
        <v>633</v>
      </c>
      <c r="T107" s="795" t="s">
        <v>633</v>
      </c>
    </row>
    <row r="108" spans="1:20" x14ac:dyDescent="0.35">
      <c r="A108" s="269"/>
      <c r="B108" s="221" t="str">
        <f>'Calc Sheet 23_24'!B1440</f>
        <v>8.1.11 Shifting of meter to meter box on stand boundary - Domestic connection - Urban</v>
      </c>
      <c r="C108" s="222" t="s">
        <v>295</v>
      </c>
      <c r="D108" s="201">
        <f>'Calc Sheet 23_24'!H1447</f>
        <v>4980</v>
      </c>
      <c r="E108" s="522">
        <v>2230</v>
      </c>
      <c r="F108" s="606">
        <f>'Calc Sheet 23_24'!H1447</f>
        <v>4980</v>
      </c>
      <c r="G108" s="379">
        <f>'Calc Sheet 23_24'!I1447</f>
        <v>4930</v>
      </c>
      <c r="H108" s="228">
        <f>(G108-F108)/F108</f>
        <v>-1.0040160642570281E-2</v>
      </c>
      <c r="I108" s="229">
        <f t="shared" si="2"/>
        <v>739.5</v>
      </c>
      <c r="J108" s="562">
        <f t="shared" si="3"/>
        <v>5669.5</v>
      </c>
      <c r="K108" s="271">
        <v>9100033030416</v>
      </c>
      <c r="M108" s="417">
        <f t="shared" si="4"/>
        <v>5669.5</v>
      </c>
      <c r="N108" s="417">
        <f>+$M108*(1+'Unit tariffs'!$F$2)</f>
        <v>5992.6614999999993</v>
      </c>
      <c r="O108" s="417">
        <f>+$N108*(1+'Unit tariffs'!$F$2)</f>
        <v>6334.243205499999</v>
      </c>
      <c r="P108" s="417">
        <f>+$O108*(1+'Unit tariffs'!$F$2)</f>
        <v>6695.2950682134988</v>
      </c>
      <c r="Q108" s="417">
        <f>+$P108*(1+'Unit tariffs'!$F$2)</f>
        <v>7076.9268871016675</v>
      </c>
      <c r="R108" s="795" t="s">
        <v>633</v>
      </c>
      <c r="S108" s="795" t="s">
        <v>633</v>
      </c>
      <c r="T108" s="795" t="s">
        <v>633</v>
      </c>
    </row>
    <row r="109" spans="1:20" x14ac:dyDescent="0.35">
      <c r="A109" s="269"/>
      <c r="B109" s="221" t="str">
        <f>'Calc Sheet 23_24'!B1452</f>
        <v>8.1.12 Shifting of connection - Pre-payment with ready board (per single connection) - Overhead only</v>
      </c>
      <c r="C109" s="222"/>
      <c r="D109" s="201">
        <f>'Calc Sheet 23_24'!H1476</f>
        <v>2760</v>
      </c>
      <c r="E109" s="521">
        <v>1840</v>
      </c>
      <c r="F109" s="606">
        <f>'Calc Sheet 23_24'!H1476</f>
        <v>2760</v>
      </c>
      <c r="G109" s="379">
        <f>'Calc Sheet 23_24'!I1476</f>
        <v>3440</v>
      </c>
      <c r="H109" s="228">
        <f>(G109-F109)/F109</f>
        <v>0.24637681159420291</v>
      </c>
      <c r="I109" s="229">
        <f t="shared" si="2"/>
        <v>516</v>
      </c>
      <c r="J109" s="562">
        <f t="shared" si="3"/>
        <v>3956</v>
      </c>
      <c r="K109" s="271">
        <v>9100033030416</v>
      </c>
      <c r="M109" s="417">
        <f t="shared" si="4"/>
        <v>3956</v>
      </c>
      <c r="N109" s="417">
        <f>+$M109*(1+'Unit tariffs'!$F$2)</f>
        <v>4181.4920000000002</v>
      </c>
      <c r="O109" s="417">
        <f>+$N109*(1+'Unit tariffs'!$F$2)</f>
        <v>4419.8370439999999</v>
      </c>
      <c r="P109" s="417">
        <f>+$O109*(1+'Unit tariffs'!$F$2)</f>
        <v>4671.7677555079999</v>
      </c>
      <c r="Q109" s="417">
        <f>+$P109*(1+'Unit tariffs'!$F$2)</f>
        <v>4938.0585175719552</v>
      </c>
      <c r="R109" s="795" t="s">
        <v>633</v>
      </c>
      <c r="S109" s="795" t="s">
        <v>633</v>
      </c>
      <c r="T109" s="795" t="s">
        <v>633</v>
      </c>
    </row>
    <row r="110" spans="1:20" x14ac:dyDescent="0.35">
      <c r="A110" s="269"/>
      <c r="B110" s="221" t="s">
        <v>1</v>
      </c>
      <c r="C110" s="222"/>
      <c r="D110" s="218" t="s">
        <v>1</v>
      </c>
      <c r="E110" s="520"/>
      <c r="F110" s="605" t="s">
        <v>1</v>
      </c>
      <c r="G110" s="220" t="s">
        <v>1</v>
      </c>
      <c r="H110" s="242" t="s">
        <v>1</v>
      </c>
      <c r="I110" s="230"/>
      <c r="J110" s="224"/>
      <c r="K110" s="272" t="s">
        <v>81</v>
      </c>
      <c r="M110" s="409"/>
      <c r="N110" s="409"/>
      <c r="O110" s="409"/>
      <c r="P110" s="409"/>
      <c r="Q110" s="417"/>
      <c r="R110" s="795"/>
      <c r="S110" s="795"/>
      <c r="T110" s="795"/>
    </row>
    <row r="111" spans="1:20" ht="21" customHeight="1" x14ac:dyDescent="0.35">
      <c r="A111" s="286"/>
      <c r="B111" s="287" t="str">
        <f>'Calc Sheet 23_24'!B1481</f>
        <v>9. SPECIAL SERVICE LEVIES</v>
      </c>
      <c r="C111" s="288"/>
      <c r="D111" s="305"/>
      <c r="E111" s="518"/>
      <c r="F111" s="604"/>
      <c r="G111" s="292"/>
      <c r="H111" s="290"/>
      <c r="I111" s="291"/>
      <c r="J111" s="560"/>
      <c r="K111" s="310"/>
      <c r="M111" s="413"/>
      <c r="N111" s="413"/>
      <c r="O111" s="413"/>
      <c r="P111" s="413"/>
      <c r="Q111" s="417"/>
      <c r="R111" s="795"/>
      <c r="S111" s="795"/>
      <c r="T111" s="795"/>
    </row>
    <row r="112" spans="1:20" x14ac:dyDescent="0.35">
      <c r="A112" s="269"/>
      <c r="B112" s="221" t="s">
        <v>1</v>
      </c>
      <c r="C112" s="222"/>
      <c r="D112" s="218"/>
      <c r="E112" s="520"/>
      <c r="F112" s="605"/>
      <c r="G112" s="220"/>
      <c r="H112" s="219"/>
      <c r="I112" s="216"/>
      <c r="J112" s="561"/>
      <c r="K112" s="270"/>
      <c r="M112" s="415"/>
      <c r="N112" s="415"/>
      <c r="O112" s="415"/>
      <c r="P112" s="415"/>
      <c r="Q112" s="417"/>
      <c r="R112" s="795"/>
      <c r="S112" s="795"/>
      <c r="T112" s="795"/>
    </row>
    <row r="113" spans="1:20" hidden="1" x14ac:dyDescent="0.35">
      <c r="A113" s="269"/>
      <c r="B113" s="221" t="str">
        <f>'Calc Sheet 23_24'!B1483</f>
        <v>9.1.1 Electricity meter accuracy test at request by the consumer - Removal of meter</v>
      </c>
      <c r="C113" s="222"/>
      <c r="D113" s="201">
        <f>'Calc Sheet 23_24'!H1505</f>
        <v>1400</v>
      </c>
      <c r="E113" s="521">
        <v>390</v>
      </c>
      <c r="F113" s="606">
        <f>'Calc Sheet 23_24'!H1505</f>
        <v>1400</v>
      </c>
      <c r="G113" s="379">
        <f>'Calc Sheet 23_24'!I1505</f>
        <v>1590</v>
      </c>
      <c r="H113" s="228">
        <f>(G113-F113)/F113</f>
        <v>0.1357142857142857</v>
      </c>
      <c r="I113" s="229">
        <f>G113*I$3</f>
        <v>238.5</v>
      </c>
      <c r="J113" s="562">
        <f>G113+I113</f>
        <v>1828.5</v>
      </c>
      <c r="K113" s="271">
        <v>9100033030416</v>
      </c>
      <c r="M113" s="417">
        <f>J113+L113</f>
        <v>1828.5</v>
      </c>
      <c r="N113" s="417">
        <f>+$M113*(1+'Unit tariffs'!$F$2)</f>
        <v>1932.7244999999998</v>
      </c>
      <c r="O113" s="417">
        <f>+$N113*(1+'Unit tariffs'!$F$2)</f>
        <v>2042.8897964999996</v>
      </c>
      <c r="P113" s="417">
        <f>+$O113*(1+'Unit tariffs'!$F$2)</f>
        <v>2159.3345149004995</v>
      </c>
      <c r="Q113" s="417">
        <f>+$P113*(1+'Unit tariffs'!$F$2)</f>
        <v>2282.416582249828</v>
      </c>
      <c r="R113" s="795"/>
      <c r="S113" s="795"/>
      <c r="T113" s="795"/>
    </row>
    <row r="114" spans="1:20" hidden="1" x14ac:dyDescent="0.35">
      <c r="A114" s="269"/>
      <c r="B114" s="221" t="str">
        <f>'Calc Sheet 23_24'!B1485</f>
        <v xml:space="preserve">       Meter to be removed by supplier for testing. Testing of the meter under item 9.1.2 or 9.1.3</v>
      </c>
      <c r="C114" s="222"/>
      <c r="D114" s="201"/>
      <c r="E114" s="521"/>
      <c r="F114" s="606"/>
      <c r="G114" s="379"/>
      <c r="H114" s="242" t="s">
        <v>1</v>
      </c>
      <c r="I114" s="230"/>
      <c r="J114" s="224"/>
      <c r="K114" s="272"/>
      <c r="M114" s="409"/>
      <c r="N114" s="409"/>
      <c r="O114" s="409"/>
      <c r="P114" s="409"/>
      <c r="Q114" s="417"/>
      <c r="R114" s="795" t="s">
        <v>633</v>
      </c>
      <c r="S114" s="795" t="s">
        <v>633</v>
      </c>
      <c r="T114" s="795" t="s">
        <v>633</v>
      </c>
    </row>
    <row r="115" spans="1:20" hidden="1" x14ac:dyDescent="0.35">
      <c r="A115" s="269"/>
      <c r="B115" s="221" t="str">
        <f>'Calc Sheet 23_24'!B1510</f>
        <v>9.1.2 Request for accuracy test of electricity meter - Testing of meter (1 or 3 phase)</v>
      </c>
      <c r="C115" s="222"/>
      <c r="D115" s="201">
        <f>'Calc Sheet 23_24'!H1527</f>
        <v>311</v>
      </c>
      <c r="E115" s="522">
        <v>140</v>
      </c>
      <c r="F115" s="606">
        <f>'Calc Sheet 23_24'!H1527</f>
        <v>311</v>
      </c>
      <c r="G115" s="379">
        <f>'Calc Sheet 23_24'!I1527</f>
        <v>338</v>
      </c>
      <c r="H115" s="228">
        <f>(G115-F115)/F115</f>
        <v>8.6816720257234734E-2</v>
      </c>
      <c r="I115" s="229">
        <f>G115*I$3</f>
        <v>50.699999999999996</v>
      </c>
      <c r="J115" s="562">
        <f>G115+I115</f>
        <v>388.7</v>
      </c>
      <c r="K115" s="271">
        <v>9100033030416</v>
      </c>
      <c r="M115" s="417">
        <f>J115+L115</f>
        <v>388.7</v>
      </c>
      <c r="N115" s="417">
        <f>+$M115*(1+'Unit tariffs'!$F$2)</f>
        <v>410.85589999999996</v>
      </c>
      <c r="O115" s="417">
        <f>+$N115*(1+'Unit tariffs'!$F$2)</f>
        <v>434.27468629999993</v>
      </c>
      <c r="P115" s="417">
        <f>+$O115*(1+'Unit tariffs'!$F$2)</f>
        <v>459.02834341909988</v>
      </c>
      <c r="Q115" s="417">
        <f>+$P115*(1+'Unit tariffs'!$F$2)</f>
        <v>485.19295899398855</v>
      </c>
      <c r="R115" s="795" t="s">
        <v>633</v>
      </c>
      <c r="S115" s="795" t="s">
        <v>633</v>
      </c>
      <c r="T115" s="795" t="s">
        <v>633</v>
      </c>
    </row>
    <row r="116" spans="1:20" hidden="1" x14ac:dyDescent="0.35">
      <c r="A116" s="269"/>
      <c r="B116" s="221" t="str">
        <f>'Calc Sheet 23_24'!B1512</f>
        <v xml:space="preserve">      Meter to be removed under item 9.1.1</v>
      </c>
      <c r="C116" s="222"/>
      <c r="D116" s="201"/>
      <c r="E116" s="521"/>
      <c r="F116" s="606"/>
      <c r="G116" s="379"/>
      <c r="H116" s="242" t="s">
        <v>1</v>
      </c>
      <c r="I116" s="230"/>
      <c r="J116" s="224"/>
      <c r="K116" s="272"/>
      <c r="M116" s="409"/>
      <c r="N116" s="409"/>
      <c r="O116" s="409"/>
      <c r="P116" s="409"/>
      <c r="Q116" s="417"/>
      <c r="R116" s="795" t="s">
        <v>633</v>
      </c>
      <c r="S116" s="795" t="s">
        <v>633</v>
      </c>
      <c r="T116" s="795" t="s">
        <v>633</v>
      </c>
    </row>
    <row r="117" spans="1:20" hidden="1" x14ac:dyDescent="0.35">
      <c r="A117" s="269"/>
      <c r="B117" s="221" t="str">
        <f>'Calc Sheet 23_24'!B1534</f>
        <v>9.1.3 Request for accuracy test of Bulk electricity meter - Testing of meter</v>
      </c>
      <c r="C117" s="222"/>
      <c r="D117" s="201">
        <f>'Calc Sheet 23_24'!H1551</f>
        <v>1170</v>
      </c>
      <c r="E117" s="522">
        <v>515</v>
      </c>
      <c r="F117" s="606">
        <f>'Calc Sheet 23_24'!H1551</f>
        <v>1170</v>
      </c>
      <c r="G117" s="379">
        <f>'Calc Sheet 23_24'!I1551</f>
        <v>1350</v>
      </c>
      <c r="H117" s="228">
        <f>(G117-F117)/F117</f>
        <v>0.15384615384615385</v>
      </c>
      <c r="I117" s="229">
        <f>G117*I$3</f>
        <v>202.5</v>
      </c>
      <c r="J117" s="562">
        <f>G117+I117</f>
        <v>1552.5</v>
      </c>
      <c r="K117" s="271">
        <v>9100033030416</v>
      </c>
      <c r="M117" s="417">
        <f>J117+L117</f>
        <v>1552.5</v>
      </c>
      <c r="N117" s="417">
        <f>+$M117*(1+'Unit tariffs'!$F$2)</f>
        <v>1640.9924999999998</v>
      </c>
      <c r="O117" s="417">
        <f>+$N117*(1+'Unit tariffs'!$F$2)</f>
        <v>1734.5290724999998</v>
      </c>
      <c r="P117" s="417">
        <f>+$O117*(1+'Unit tariffs'!$F$2)</f>
        <v>1833.3972296324996</v>
      </c>
      <c r="Q117" s="417">
        <f>+$P117*(1+'Unit tariffs'!$F$2)</f>
        <v>1937.900871721552</v>
      </c>
      <c r="R117" s="795" t="s">
        <v>633</v>
      </c>
      <c r="S117" s="795" t="s">
        <v>633</v>
      </c>
      <c r="T117" s="795" t="s">
        <v>633</v>
      </c>
    </row>
    <row r="118" spans="1:20" hidden="1" x14ac:dyDescent="0.35">
      <c r="A118" s="269"/>
      <c r="B118" s="221" t="str">
        <f>'Calc Sheet 23_24'!B1536</f>
        <v xml:space="preserve">      Meter to be removed under item 9.1.1</v>
      </c>
      <c r="C118" s="222"/>
      <c r="D118" s="201"/>
      <c r="E118" s="521"/>
      <c r="F118" s="606"/>
      <c r="G118" s="379"/>
      <c r="H118" s="242"/>
      <c r="I118" s="230"/>
      <c r="J118" s="224"/>
      <c r="K118" s="272"/>
      <c r="M118" s="409"/>
      <c r="N118" s="409"/>
      <c r="O118" s="409"/>
      <c r="P118" s="409"/>
      <c r="Q118" s="417"/>
      <c r="R118" s="795" t="s">
        <v>633</v>
      </c>
      <c r="S118" s="795" t="s">
        <v>633</v>
      </c>
      <c r="T118" s="795" t="s">
        <v>633</v>
      </c>
    </row>
    <row r="119" spans="1:20" ht="33" hidden="1" customHeight="1" x14ac:dyDescent="0.35">
      <c r="A119" s="269"/>
      <c r="B119" s="221" t="str">
        <f>'Calc Sheet 23_24'!B1558</f>
        <v>MATERIAL (None)</v>
      </c>
      <c r="C119" s="222"/>
      <c r="D119" s="201">
        <f>'Calc Sheet 23_24'!H1574</f>
        <v>14740</v>
      </c>
      <c r="E119" s="521">
        <v>5855</v>
      </c>
      <c r="F119" s="606">
        <f>'Calc Sheet 23_24'!H1574</f>
        <v>14740</v>
      </c>
      <c r="G119" s="379">
        <f>'Calc Sheet 23_24'!I1574</f>
        <v>16380</v>
      </c>
      <c r="H119" s="228">
        <f t="shared" ref="H119:H127" si="6">(G119-F119)/F119</f>
        <v>0.1112618724559023</v>
      </c>
      <c r="I119" s="229">
        <f>G119*I$3</f>
        <v>2457</v>
      </c>
      <c r="J119" s="562">
        <f>G119+I119</f>
        <v>18837</v>
      </c>
      <c r="K119" s="271">
        <v>9100033030416</v>
      </c>
      <c r="M119" s="417">
        <f t="shared" ref="M119:M127" si="7">J119+L119</f>
        <v>18837</v>
      </c>
      <c r="N119" s="417">
        <f>+$M119*(1+'Unit tariffs'!$F$2)</f>
        <v>19910.708999999999</v>
      </c>
      <c r="O119" s="417">
        <f>+$N119*(1+'Unit tariffs'!$F$2)</f>
        <v>21045.619412999997</v>
      </c>
      <c r="P119" s="417">
        <f>+$O119*(1+'Unit tariffs'!$F$2)</f>
        <v>22245.219719540994</v>
      </c>
      <c r="Q119" s="417">
        <f>+$P119*(1+'Unit tariffs'!$F$2)</f>
        <v>23513.19724355483</v>
      </c>
      <c r="R119" s="795" t="s">
        <v>633</v>
      </c>
      <c r="S119" s="795" t="s">
        <v>633</v>
      </c>
      <c r="T119" s="795" t="s">
        <v>633</v>
      </c>
    </row>
    <row r="120" spans="1:20" ht="29.25" hidden="1" customHeight="1" x14ac:dyDescent="0.35">
      <c r="A120" s="269"/>
      <c r="B120" s="514" t="s">
        <v>398</v>
      </c>
      <c r="C120" s="253"/>
      <c r="D120" s="201">
        <v>4943.7299999999996</v>
      </c>
      <c r="E120" s="521"/>
      <c r="F120" s="619">
        <f>+'Calc Sheet 23_24'!H1591</f>
        <v>6200</v>
      </c>
      <c r="G120" s="379">
        <f>+'Calc Sheet 23_24'!I1591</f>
        <v>6200</v>
      </c>
      <c r="H120" s="228">
        <f t="shared" si="6"/>
        <v>0</v>
      </c>
      <c r="I120" s="229">
        <f t="shared" ref="I120:I121" si="8">G120*I$3</f>
        <v>930</v>
      </c>
      <c r="J120" s="562">
        <f t="shared" ref="J120:J121" si="9">G120+I120</f>
        <v>7130</v>
      </c>
      <c r="K120" s="271">
        <v>9100033030416</v>
      </c>
      <c r="M120" s="417">
        <f t="shared" si="7"/>
        <v>7130</v>
      </c>
      <c r="N120" s="417">
        <f>+$M120*(1+'Unit tariffs'!$F$2)</f>
        <v>7536.41</v>
      </c>
      <c r="O120" s="417">
        <f>+$N120*(1+'Unit tariffs'!$F$2)</f>
        <v>7965.9853699999994</v>
      </c>
      <c r="P120" s="417">
        <f>+$O120*(1+'Unit tariffs'!$F$2)</f>
        <v>8420.0465360899998</v>
      </c>
      <c r="Q120" s="417">
        <f>+$P120*(1+'Unit tariffs'!$F$2)</f>
        <v>8899.9891886471287</v>
      </c>
      <c r="R120" s="795" t="s">
        <v>633</v>
      </c>
      <c r="S120" s="795" t="s">
        <v>633</v>
      </c>
      <c r="T120" s="795" t="s">
        <v>633</v>
      </c>
    </row>
    <row r="121" spans="1:20" ht="33" hidden="1" customHeight="1" x14ac:dyDescent="0.35">
      <c r="A121" s="269"/>
      <c r="B121" s="514" t="s">
        <v>397</v>
      </c>
      <c r="C121" s="222"/>
      <c r="D121" s="201">
        <v>0</v>
      </c>
      <c r="E121" s="521"/>
      <c r="F121" s="606">
        <f>+'Calc Sheet 23_24'!H1607</f>
        <v>9200</v>
      </c>
      <c r="G121" s="379">
        <f>+'Calc Sheet 23_24'!I1607</f>
        <v>9200</v>
      </c>
      <c r="H121" s="228">
        <f t="shared" si="6"/>
        <v>0</v>
      </c>
      <c r="I121" s="229">
        <f t="shared" si="8"/>
        <v>1380</v>
      </c>
      <c r="J121" s="562">
        <f t="shared" si="9"/>
        <v>10580</v>
      </c>
      <c r="K121" s="271">
        <v>9100033030416</v>
      </c>
      <c r="M121" s="417">
        <f t="shared" si="7"/>
        <v>10580</v>
      </c>
      <c r="N121" s="417">
        <f>+$M121*(1+'Unit tariffs'!$F$2)</f>
        <v>11183.06</v>
      </c>
      <c r="O121" s="417">
        <f>+$N121*(1+'Unit tariffs'!$F$2)</f>
        <v>11820.494419999999</v>
      </c>
      <c r="P121" s="417">
        <f>+$O121*(1+'Unit tariffs'!$F$2)</f>
        <v>12494.262601939998</v>
      </c>
      <c r="Q121" s="417">
        <f>+$P121*(1+'Unit tariffs'!$F$2)</f>
        <v>13206.435570250576</v>
      </c>
      <c r="R121" s="795" t="s">
        <v>633</v>
      </c>
      <c r="S121" s="795" t="s">
        <v>633</v>
      </c>
      <c r="T121" s="795" t="s">
        <v>633</v>
      </c>
    </row>
    <row r="122" spans="1:20" ht="38.5" hidden="1" x14ac:dyDescent="0.35">
      <c r="A122" s="269"/>
      <c r="B122" s="221" t="str">
        <f>'Calc Sheet 23_24'!B1614</f>
        <v xml:space="preserve">9.7 Reinstatement of supply following disconnection of Std 3 phase service -  Where meter was damaged or persistant tampering occurred (RMD 3 Ph) - Replaced with 100A Time of Use meter (TOU) </v>
      </c>
      <c r="C122" s="222"/>
      <c r="D122" s="201">
        <f>'Calc Sheet 23_24'!H1638</f>
        <v>12560</v>
      </c>
      <c r="E122" s="521">
        <v>10470</v>
      </c>
      <c r="F122" s="606">
        <f>'Calc Sheet 23_24'!H1638</f>
        <v>12560</v>
      </c>
      <c r="G122" s="379">
        <f>'Calc Sheet 23_24'!I1638</f>
        <v>7260</v>
      </c>
      <c r="H122" s="228">
        <f t="shared" si="6"/>
        <v>-0.42197452229299365</v>
      </c>
      <c r="I122" s="229">
        <f>G122*I$3</f>
        <v>1089</v>
      </c>
      <c r="J122" s="562">
        <f>G122+I122</f>
        <v>8349</v>
      </c>
      <c r="K122" s="271">
        <v>9100033030416</v>
      </c>
      <c r="M122" s="417">
        <f t="shared" si="7"/>
        <v>8349</v>
      </c>
      <c r="N122" s="417">
        <f>+$M122*(1+'Unit tariffs'!$F$2)</f>
        <v>8824.893</v>
      </c>
      <c r="O122" s="417">
        <f>+$N122*(1+'Unit tariffs'!$F$2)</f>
        <v>9327.9119009999995</v>
      </c>
      <c r="P122" s="417">
        <f>+$O122*(1+'Unit tariffs'!$F$2)</f>
        <v>9859.6028793569985</v>
      </c>
      <c r="Q122" s="417">
        <f>+$P122*(1+'Unit tariffs'!$F$2)</f>
        <v>10421.600243480347</v>
      </c>
      <c r="R122" s="795" t="s">
        <v>633</v>
      </c>
      <c r="S122" s="795" t="s">
        <v>633</v>
      </c>
      <c r="T122" s="795" t="s">
        <v>633</v>
      </c>
    </row>
    <row r="123" spans="1:20" ht="29.25" hidden="1" customHeight="1" x14ac:dyDescent="0.35">
      <c r="A123" s="269"/>
      <c r="B123" s="514" t="s">
        <v>399</v>
      </c>
      <c r="C123" s="222"/>
      <c r="D123" s="201">
        <v>0</v>
      </c>
      <c r="E123" s="521"/>
      <c r="F123" s="606">
        <f>+'Calc Sheet 23_24'!H1655</f>
        <v>15400</v>
      </c>
      <c r="G123" s="379">
        <f>+'Calc Sheet 23_24'!I1655</f>
        <v>15400</v>
      </c>
      <c r="H123" s="228">
        <f t="shared" si="6"/>
        <v>0</v>
      </c>
      <c r="I123" s="229">
        <f t="shared" ref="I123:I127" si="10">G123*I$3</f>
        <v>2310</v>
      </c>
      <c r="J123" s="562">
        <f t="shared" ref="J123:J127" si="11">G123+I123</f>
        <v>17710</v>
      </c>
      <c r="K123" s="271">
        <v>9100033030416</v>
      </c>
      <c r="M123" s="417">
        <f t="shared" si="7"/>
        <v>17710</v>
      </c>
      <c r="N123" s="417">
        <f>+$M123*(1+'Unit tariffs'!$F$2)</f>
        <v>18719.469999999998</v>
      </c>
      <c r="O123" s="417">
        <f>+$N123*(1+'Unit tariffs'!$F$2)</f>
        <v>19786.479789999998</v>
      </c>
      <c r="P123" s="417">
        <f>+$O123*(1+'Unit tariffs'!$F$2)</f>
        <v>20914.309138029996</v>
      </c>
      <c r="Q123" s="417">
        <f>+$P123*(1+'Unit tariffs'!$F$2)</f>
        <v>22106.424758897705</v>
      </c>
      <c r="R123" s="795" t="s">
        <v>633</v>
      </c>
      <c r="S123" s="795" t="s">
        <v>633</v>
      </c>
      <c r="T123" s="795" t="s">
        <v>633</v>
      </c>
    </row>
    <row r="124" spans="1:20" ht="33" hidden="1" customHeight="1" x14ac:dyDescent="0.35">
      <c r="A124" s="269"/>
      <c r="B124" s="514" t="s">
        <v>400</v>
      </c>
      <c r="C124" s="222"/>
      <c r="D124" s="201">
        <v>0</v>
      </c>
      <c r="E124" s="521"/>
      <c r="F124" s="606">
        <f>+'Calc Sheet 23_24'!H1673</f>
        <v>30800</v>
      </c>
      <c r="G124" s="379">
        <f>+'Calc Sheet 23_24'!I1673</f>
        <v>30800</v>
      </c>
      <c r="H124" s="228">
        <f t="shared" si="6"/>
        <v>0</v>
      </c>
      <c r="I124" s="229">
        <f t="shared" si="10"/>
        <v>4620</v>
      </c>
      <c r="J124" s="562">
        <f t="shared" si="11"/>
        <v>35420</v>
      </c>
      <c r="K124" s="271">
        <v>9100033030416</v>
      </c>
      <c r="M124" s="417">
        <f t="shared" si="7"/>
        <v>35420</v>
      </c>
      <c r="N124" s="417">
        <f>+$M124*(1+'Unit tariffs'!$F$2)</f>
        <v>37438.939999999995</v>
      </c>
      <c r="O124" s="417">
        <f>+$N124*(1+'Unit tariffs'!$F$2)</f>
        <v>39572.959579999995</v>
      </c>
      <c r="P124" s="417">
        <f>+$O124*(1+'Unit tariffs'!$F$2)</f>
        <v>41828.618276059991</v>
      </c>
      <c r="Q124" s="417">
        <f>+$P124*(1+'Unit tariffs'!$F$2)</f>
        <v>44212.84951779541</v>
      </c>
      <c r="R124" s="795" t="s">
        <v>633</v>
      </c>
      <c r="S124" s="795" t="s">
        <v>633</v>
      </c>
      <c r="T124" s="795" t="s">
        <v>633</v>
      </c>
    </row>
    <row r="125" spans="1:20" ht="30.75" hidden="1" customHeight="1" x14ac:dyDescent="0.35">
      <c r="A125" s="269"/>
      <c r="B125" s="221" t="str">
        <f>'Calc Sheet 23_24'!B1708</f>
        <v>9.9 Reinstatement of supply following disconnection of service by CENTLEC - 1Phase pre-payment meter damaged or persistent tampering (PPD)</v>
      </c>
      <c r="C125" s="222"/>
      <c r="D125" s="201">
        <f>+'Calc Sheet 23_24'!H1731</f>
        <v>7830</v>
      </c>
      <c r="E125" s="521">
        <v>5990</v>
      </c>
      <c r="F125" s="606">
        <f>+'Calc Sheet 23_24'!H1731</f>
        <v>7830</v>
      </c>
      <c r="G125" s="379">
        <f>+'Calc Sheet 23_24'!I1731</f>
        <v>7340</v>
      </c>
      <c r="H125" s="228">
        <f t="shared" si="6"/>
        <v>-6.2579821200510852E-2</v>
      </c>
      <c r="I125" s="229">
        <f t="shared" si="10"/>
        <v>1101</v>
      </c>
      <c r="J125" s="562">
        <f t="shared" si="11"/>
        <v>8441</v>
      </c>
      <c r="K125" s="271">
        <v>9100033030416</v>
      </c>
      <c r="M125" s="417">
        <f t="shared" si="7"/>
        <v>8441</v>
      </c>
      <c r="N125" s="417">
        <f>+$M125*(1+'Unit tariffs'!$F$2)</f>
        <v>8922.1369999999988</v>
      </c>
      <c r="O125" s="417">
        <f>+$N125*(1+'Unit tariffs'!$F$2)</f>
        <v>9430.6988089999977</v>
      </c>
      <c r="P125" s="417">
        <f>+$O125*(1+'Unit tariffs'!$F$2)</f>
        <v>9968.2486411129976</v>
      </c>
      <c r="Q125" s="417">
        <f>+$P125*(1+'Unit tariffs'!$F$2)</f>
        <v>10536.438813656438</v>
      </c>
      <c r="R125" s="795" t="s">
        <v>633</v>
      </c>
      <c r="S125" s="795" t="s">
        <v>633</v>
      </c>
      <c r="T125" s="795" t="s">
        <v>633</v>
      </c>
    </row>
    <row r="126" spans="1:20" ht="29.25" hidden="1" customHeight="1" x14ac:dyDescent="0.35">
      <c r="A126" s="269"/>
      <c r="B126" s="514" t="s">
        <v>401</v>
      </c>
      <c r="C126" s="222"/>
      <c r="D126" s="201">
        <v>4943.7299999999996</v>
      </c>
      <c r="E126" s="521"/>
      <c r="F126" s="620">
        <f>+'Calc Sheet 23_24'!H1749</f>
        <v>6200</v>
      </c>
      <c r="G126" s="379">
        <f>+'Calc Sheet 23_24'!I1749</f>
        <v>6200</v>
      </c>
      <c r="H126" s="228">
        <f t="shared" si="6"/>
        <v>0</v>
      </c>
      <c r="I126" s="229">
        <f t="shared" si="10"/>
        <v>930</v>
      </c>
      <c r="J126" s="562">
        <f t="shared" si="11"/>
        <v>7130</v>
      </c>
      <c r="K126" s="271">
        <v>9100033030416</v>
      </c>
      <c r="M126" s="417">
        <f t="shared" si="7"/>
        <v>7130</v>
      </c>
      <c r="N126" s="417">
        <f>+$M126*(1+'Unit tariffs'!$F$2)</f>
        <v>7536.41</v>
      </c>
      <c r="O126" s="417">
        <f>+$N126*(1+'Unit tariffs'!$F$2)</f>
        <v>7965.9853699999994</v>
      </c>
      <c r="P126" s="417">
        <f>+$O126*(1+'Unit tariffs'!$F$2)</f>
        <v>8420.0465360899998</v>
      </c>
      <c r="Q126" s="417">
        <f>+$P126*(1+'Unit tariffs'!$F$2)</f>
        <v>8899.9891886471287</v>
      </c>
      <c r="R126" s="795" t="s">
        <v>633</v>
      </c>
      <c r="S126" s="795" t="s">
        <v>633</v>
      </c>
      <c r="T126" s="795" t="s">
        <v>633</v>
      </c>
    </row>
    <row r="127" spans="1:20" ht="33" hidden="1" customHeight="1" x14ac:dyDescent="0.35">
      <c r="A127" s="269"/>
      <c r="B127" s="514" t="s">
        <v>402</v>
      </c>
      <c r="C127" s="222"/>
      <c r="D127" s="201">
        <v>0</v>
      </c>
      <c r="E127" s="521"/>
      <c r="F127" s="606">
        <f>+'Calc Sheet 23_24'!H1766</f>
        <v>9200</v>
      </c>
      <c r="G127" s="379">
        <f>+'Calc Sheet 23_24'!I1766</f>
        <v>9200</v>
      </c>
      <c r="H127" s="228">
        <f t="shared" si="6"/>
        <v>0</v>
      </c>
      <c r="I127" s="229">
        <f t="shared" si="10"/>
        <v>1380</v>
      </c>
      <c r="J127" s="562">
        <f t="shared" si="11"/>
        <v>10580</v>
      </c>
      <c r="K127" s="271">
        <v>9100033030416</v>
      </c>
      <c r="M127" s="417">
        <f t="shared" si="7"/>
        <v>10580</v>
      </c>
      <c r="N127" s="417">
        <f>+$M127*(1+'Unit tariffs'!$F$2)</f>
        <v>11183.06</v>
      </c>
      <c r="O127" s="417">
        <f>+$N127*(1+'Unit tariffs'!$F$2)</f>
        <v>11820.494419999999</v>
      </c>
      <c r="P127" s="417">
        <f>+$O127*(1+'Unit tariffs'!$F$2)</f>
        <v>12494.262601939998</v>
      </c>
      <c r="Q127" s="417">
        <f>+$P127*(1+'Unit tariffs'!$F$2)</f>
        <v>13206.435570250576</v>
      </c>
      <c r="R127" s="795" t="s">
        <v>633</v>
      </c>
      <c r="S127" s="795" t="s">
        <v>633</v>
      </c>
      <c r="T127" s="795" t="s">
        <v>633</v>
      </c>
    </row>
    <row r="128" spans="1:20" ht="14" customHeight="1" thickBot="1" x14ac:dyDescent="0.4">
      <c r="A128" s="364"/>
      <c r="B128" s="278"/>
      <c r="C128" s="279"/>
      <c r="D128" s="360"/>
      <c r="E128" s="536"/>
      <c r="F128" s="621"/>
      <c r="G128" s="386"/>
      <c r="H128" s="361"/>
      <c r="I128" s="362"/>
      <c r="J128" s="568"/>
      <c r="K128" s="363"/>
      <c r="M128" s="427"/>
      <c r="N128" s="427"/>
      <c r="O128" s="427"/>
      <c r="P128" s="427"/>
      <c r="Q128" s="427"/>
      <c r="R128" s="795"/>
      <c r="S128" s="795"/>
      <c r="T128" s="795"/>
    </row>
    <row r="129" spans="1:20" ht="15.5" x14ac:dyDescent="0.35">
      <c r="A129" s="261"/>
      <c r="B129" s="262" t="str">
        <f>B1</f>
        <v>CENTLEC : ELECTRICITY SERVICES COSTS FOR MOHOKARE MUNIC</v>
      </c>
      <c r="C129" s="374"/>
      <c r="D129" s="368" t="s">
        <v>74</v>
      </c>
      <c r="E129" s="529"/>
      <c r="F129" s="613" t="s">
        <v>74</v>
      </c>
      <c r="G129" s="370" t="s">
        <v>74</v>
      </c>
      <c r="H129" s="369" t="s">
        <v>85</v>
      </c>
      <c r="I129" s="52" t="s">
        <v>441</v>
      </c>
      <c r="J129" s="370" t="s">
        <v>138</v>
      </c>
      <c r="K129" s="371" t="s">
        <v>75</v>
      </c>
      <c r="M129" s="670" t="s">
        <v>138</v>
      </c>
      <c r="N129" s="670" t="s">
        <v>138</v>
      </c>
      <c r="O129" s="670" t="s">
        <v>138</v>
      </c>
      <c r="P129" s="670" t="s">
        <v>138</v>
      </c>
      <c r="Q129" s="670" t="s">
        <v>138</v>
      </c>
      <c r="R129" s="795"/>
      <c r="S129" s="795"/>
      <c r="T129" s="795"/>
    </row>
    <row r="130" spans="1:20" x14ac:dyDescent="0.35">
      <c r="A130" s="269"/>
      <c r="B130" s="227"/>
      <c r="C130" s="226"/>
      <c r="D130" s="328" t="s">
        <v>77</v>
      </c>
      <c r="E130" s="516"/>
      <c r="F130" s="602" t="s">
        <v>77</v>
      </c>
      <c r="G130" s="224" t="s">
        <v>77</v>
      </c>
      <c r="H130" s="327" t="s">
        <v>86</v>
      </c>
      <c r="I130" s="643">
        <f>+'Unit tariffs'!F$3</f>
        <v>0.15</v>
      </c>
      <c r="J130" s="224" t="s">
        <v>139</v>
      </c>
      <c r="K130" s="325" t="s">
        <v>78</v>
      </c>
      <c r="M130" s="667" t="s">
        <v>139</v>
      </c>
      <c r="N130" s="667" t="s">
        <v>139</v>
      </c>
      <c r="O130" s="667" t="s">
        <v>139</v>
      </c>
      <c r="P130" s="667" t="s">
        <v>139</v>
      </c>
      <c r="Q130" s="667" t="s">
        <v>139</v>
      </c>
      <c r="R130" s="795"/>
      <c r="S130" s="795"/>
      <c r="T130" s="795"/>
    </row>
    <row r="131" spans="1:20" x14ac:dyDescent="0.35">
      <c r="A131" s="269"/>
      <c r="B131" s="227"/>
      <c r="C131" s="226"/>
      <c r="D131" s="328" t="str">
        <f>D$4</f>
        <v>2016/2017</v>
      </c>
      <c r="E131" s="516"/>
      <c r="F131" s="665" t="str">
        <f>'Calc Sheet 23_24'!$H$11</f>
        <v>2025/2026</v>
      </c>
      <c r="G131" s="224" t="str">
        <f>'Calc Sheet 23_24'!$I$11</f>
        <v>2026/2027</v>
      </c>
      <c r="H131" s="327" t="str">
        <f>G131</f>
        <v>2026/2027</v>
      </c>
      <c r="I131" s="52" t="str">
        <f>G131</f>
        <v>2026/2027</v>
      </c>
      <c r="J131" s="224" t="str">
        <f>I131</f>
        <v>2026/2027</v>
      </c>
      <c r="K131" s="325" t="s">
        <v>79</v>
      </c>
      <c r="M131" s="667" t="s">
        <v>451</v>
      </c>
      <c r="N131" s="667" t="s">
        <v>578</v>
      </c>
      <c r="O131" s="667" t="s">
        <v>579</v>
      </c>
      <c r="P131" s="667" t="s">
        <v>580</v>
      </c>
      <c r="Q131" s="667" t="s">
        <v>620</v>
      </c>
      <c r="R131" s="795"/>
      <c r="S131" s="795"/>
      <c r="T131" s="795"/>
    </row>
    <row r="132" spans="1:20" ht="16" thickBot="1" x14ac:dyDescent="0.4">
      <c r="A132" s="293"/>
      <c r="B132" s="337" t="s">
        <v>105</v>
      </c>
      <c r="C132" s="295"/>
      <c r="D132" s="331" t="s">
        <v>80</v>
      </c>
      <c r="E132" s="517"/>
      <c r="F132" s="603" t="s">
        <v>80</v>
      </c>
      <c r="G132" s="334" t="s">
        <v>80</v>
      </c>
      <c r="H132" s="332"/>
      <c r="I132" s="333"/>
      <c r="J132" s="334"/>
      <c r="K132" s="335"/>
      <c r="M132" s="411"/>
      <c r="N132" s="411"/>
      <c r="O132" s="411"/>
      <c r="P132" s="411"/>
      <c r="Q132" s="411"/>
      <c r="R132" s="795"/>
      <c r="S132" s="795"/>
      <c r="T132" s="795"/>
    </row>
    <row r="133" spans="1:20" ht="26.5" hidden="1" thickTop="1" x14ac:dyDescent="0.35">
      <c r="A133" s="269"/>
      <c r="B133" s="514" t="s">
        <v>366</v>
      </c>
      <c r="C133" s="222"/>
      <c r="D133" s="201">
        <f>+'Calc Sheet 23_24'!H1796</f>
        <v>14610</v>
      </c>
      <c r="E133" s="521">
        <v>11360</v>
      </c>
      <c r="F133" s="606">
        <f>+'Calc Sheet 23_24'!H1796</f>
        <v>14610</v>
      </c>
      <c r="G133" s="379">
        <f>+'Calc Sheet 23_24'!I1796</f>
        <v>5680</v>
      </c>
      <c r="H133" s="228">
        <f t="shared" ref="H133:H146" si="12">IF( G133&lt;0.01,"0",(G133-D133)/D133)</f>
        <v>-0.61122518822724159</v>
      </c>
      <c r="I133" s="229">
        <f>G133*I$3</f>
        <v>852</v>
      </c>
      <c r="J133" s="562">
        <f t="shared" ref="J133:J148" si="13">G133+I133</f>
        <v>6532</v>
      </c>
      <c r="K133" s="271">
        <v>9100033030416</v>
      </c>
      <c r="M133" s="417">
        <f t="shared" ref="M133:M148" si="14">J133+L133</f>
        <v>6532</v>
      </c>
      <c r="N133" s="417">
        <f>+$M133*(1+'Unit tariffs'!$F$2)</f>
        <v>6904.3239999999996</v>
      </c>
      <c r="O133" s="417">
        <f>+$N133*(1+'Unit tariffs'!$F$2)</f>
        <v>7297.8704679999992</v>
      </c>
      <c r="P133" s="417">
        <f>+$O133*(1+'Unit tariffs'!$F$2)</f>
        <v>7713.8490846759987</v>
      </c>
      <c r="Q133" s="417">
        <f>+$P133*(1+'Unit tariffs'!$F$2)</f>
        <v>8153.5384825025303</v>
      </c>
      <c r="R133" s="795"/>
      <c r="S133" s="795"/>
      <c r="T133" s="795"/>
    </row>
    <row r="134" spans="1:20" ht="29.25" hidden="1" customHeight="1" x14ac:dyDescent="0.35">
      <c r="A134" s="269"/>
      <c r="B134" s="514" t="s">
        <v>410</v>
      </c>
      <c r="C134" s="222"/>
      <c r="D134" s="201">
        <v>0</v>
      </c>
      <c r="E134" s="521"/>
      <c r="F134" s="606">
        <f>+'Calc Sheet 23_24'!H1813</f>
        <v>15400</v>
      </c>
      <c r="G134" s="379">
        <f>+'Calc Sheet 23_24'!I1813</f>
        <v>15400</v>
      </c>
      <c r="H134" s="228">
        <f t="shared" ref="H134:H145" si="15">(G134-F134)/F134</f>
        <v>0</v>
      </c>
      <c r="I134" s="229">
        <f t="shared" ref="I134:I135" si="16">G134*I$3</f>
        <v>2310</v>
      </c>
      <c r="J134" s="562">
        <f t="shared" ref="J134:J135" si="17">G134+I134</f>
        <v>17710</v>
      </c>
      <c r="K134" s="271">
        <v>9100033030417</v>
      </c>
      <c r="M134" s="417">
        <f t="shared" si="14"/>
        <v>17710</v>
      </c>
      <c r="N134" s="417">
        <f>+$M134*(1+'Unit tariffs'!$F$2)</f>
        <v>18719.469999999998</v>
      </c>
      <c r="O134" s="417">
        <f>+$N134*(1+'Unit tariffs'!$F$2)</f>
        <v>19786.479789999998</v>
      </c>
      <c r="P134" s="417">
        <f>+$O134*(1+'Unit tariffs'!$F$2)</f>
        <v>20914.309138029996</v>
      </c>
      <c r="Q134" s="417">
        <f>+$P134*(1+'Unit tariffs'!$F$2)</f>
        <v>22106.424758897705</v>
      </c>
      <c r="R134" s="795"/>
      <c r="S134" s="795"/>
      <c r="T134" s="795"/>
    </row>
    <row r="135" spans="1:20" ht="33" hidden="1" customHeight="1" x14ac:dyDescent="0.35">
      <c r="A135" s="269"/>
      <c r="B135" s="514" t="s">
        <v>411</v>
      </c>
      <c r="C135" s="222"/>
      <c r="D135" s="201">
        <v>0</v>
      </c>
      <c r="E135" s="521"/>
      <c r="F135" s="606">
        <f>+'Calc Sheet 23_24'!H1830</f>
        <v>30800</v>
      </c>
      <c r="G135" s="379">
        <f>+'Calc Sheet 23_24'!I1830</f>
        <v>30800</v>
      </c>
      <c r="H135" s="228">
        <f t="shared" si="15"/>
        <v>0</v>
      </c>
      <c r="I135" s="229">
        <f t="shared" si="16"/>
        <v>4620</v>
      </c>
      <c r="J135" s="562">
        <f t="shared" si="17"/>
        <v>35420</v>
      </c>
      <c r="K135" s="271">
        <v>9100033030418</v>
      </c>
      <c r="M135" s="417">
        <f t="shared" si="14"/>
        <v>35420</v>
      </c>
      <c r="N135" s="417">
        <f>+$M135*(1+'Unit tariffs'!$F$2)</f>
        <v>37438.939999999995</v>
      </c>
      <c r="O135" s="417">
        <f>+$N135*(1+'Unit tariffs'!$F$2)</f>
        <v>39572.959579999995</v>
      </c>
      <c r="P135" s="417">
        <f>+$O135*(1+'Unit tariffs'!$F$2)</f>
        <v>41828.618276059991</v>
      </c>
      <c r="Q135" s="417">
        <f>+$P135*(1+'Unit tariffs'!$F$2)</f>
        <v>44212.84951779541</v>
      </c>
      <c r="R135" s="795"/>
      <c r="S135" s="795"/>
      <c r="T135" s="795"/>
    </row>
    <row r="136" spans="1:20" ht="18.75" hidden="1" customHeight="1" x14ac:dyDescent="0.35">
      <c r="A136" s="269"/>
      <c r="B136" s="514" t="s">
        <v>430</v>
      </c>
      <c r="C136" s="222"/>
      <c r="D136" s="201">
        <f>+'Calc Sheet 23_24'!H1858</f>
        <v>984</v>
      </c>
      <c r="E136" s="522">
        <v>240</v>
      </c>
      <c r="F136" s="617">
        <f>+'Calc Sheet 23_24'!H1858</f>
        <v>984</v>
      </c>
      <c r="G136" s="379">
        <f>+'Calc Sheet 23_24'!I1858</f>
        <v>1140</v>
      </c>
      <c r="H136" s="228">
        <f t="shared" si="15"/>
        <v>0.15853658536585366</v>
      </c>
      <c r="I136" s="229">
        <f t="shared" ref="I136:I149" si="18">G136*I$3</f>
        <v>171</v>
      </c>
      <c r="J136" s="562">
        <f t="shared" si="13"/>
        <v>1311</v>
      </c>
      <c r="K136" s="271">
        <v>9100033030416</v>
      </c>
      <c r="M136" s="417">
        <f t="shared" si="14"/>
        <v>1311</v>
      </c>
      <c r="N136" s="417">
        <f>+$M136*(1+'Unit tariffs'!$F$2)</f>
        <v>1385.7269999999999</v>
      </c>
      <c r="O136" s="417">
        <f>+$N136*(1+'Unit tariffs'!$F$2)</f>
        <v>1464.7134389999999</v>
      </c>
      <c r="P136" s="417">
        <f>+$O136*(1+'Unit tariffs'!$F$2)</f>
        <v>1548.2021050229998</v>
      </c>
      <c r="Q136" s="417">
        <f>+$P136*(1+'Unit tariffs'!$F$2)</f>
        <v>1636.4496250093107</v>
      </c>
      <c r="R136" s="795"/>
      <c r="S136" s="795"/>
      <c r="T136" s="795"/>
    </row>
    <row r="137" spans="1:20" ht="26" hidden="1" x14ac:dyDescent="0.35">
      <c r="A137" s="269"/>
      <c r="B137" s="221" t="str">
        <f>+'Calc Sheet 23_24'!B1865:G1865</f>
        <v>9.12 Reinstatement of supply by CENTLEC - Where supplied from overhead transmission systems or a substation</v>
      </c>
      <c r="C137" s="222"/>
      <c r="D137" s="201">
        <f>+'Calc Sheet 23_24'!H1887</f>
        <v>1830</v>
      </c>
      <c r="E137" s="521">
        <v>1330</v>
      </c>
      <c r="F137" s="606">
        <f>+'Calc Sheet 23_24'!H1887</f>
        <v>1830</v>
      </c>
      <c r="G137" s="379">
        <f>+'Calc Sheet 23_24'!I1887</f>
        <v>2110</v>
      </c>
      <c r="H137" s="228">
        <f t="shared" si="15"/>
        <v>0.15300546448087432</v>
      </c>
      <c r="I137" s="229">
        <f t="shared" si="18"/>
        <v>316.5</v>
      </c>
      <c r="J137" s="562">
        <f t="shared" si="13"/>
        <v>2426.5</v>
      </c>
      <c r="K137" s="271">
        <v>9100033030416</v>
      </c>
      <c r="M137" s="417">
        <f t="shared" si="14"/>
        <v>2426.5</v>
      </c>
      <c r="N137" s="417">
        <f>+$M137*(1+'Unit tariffs'!$F$2)</f>
        <v>2564.8105</v>
      </c>
      <c r="O137" s="417">
        <f>+$N137*(1+'Unit tariffs'!$F$2)</f>
        <v>2711.0046984999999</v>
      </c>
      <c r="P137" s="417">
        <f>+$O137*(1+'Unit tariffs'!$F$2)</f>
        <v>2865.5319663144996</v>
      </c>
      <c r="Q137" s="417">
        <f>+$P137*(1+'Unit tariffs'!$F$2)</f>
        <v>3028.8672883944259</v>
      </c>
      <c r="R137" s="795"/>
      <c r="S137" s="795"/>
      <c r="T137" s="795"/>
    </row>
    <row r="138" spans="1:20" ht="26" hidden="1" x14ac:dyDescent="0.35">
      <c r="A138" s="269"/>
      <c r="B138" s="514" t="s">
        <v>367</v>
      </c>
      <c r="C138" s="222"/>
      <c r="D138" s="201">
        <f>+'Calc Sheet 23_24'!H1918</f>
        <v>2420</v>
      </c>
      <c r="E138" s="522">
        <v>1170</v>
      </c>
      <c r="F138" s="606">
        <f>+'Calc Sheet 23_24'!H1918</f>
        <v>2420</v>
      </c>
      <c r="G138" s="379">
        <f>+'Calc Sheet 23_24'!I1918</f>
        <v>2730</v>
      </c>
      <c r="H138" s="244">
        <f t="shared" si="15"/>
        <v>0.128099173553719</v>
      </c>
      <c r="I138" s="229">
        <f t="shared" si="18"/>
        <v>409.5</v>
      </c>
      <c r="J138" s="562">
        <f t="shared" si="13"/>
        <v>3139.5</v>
      </c>
      <c r="K138" s="271">
        <v>9100033030416</v>
      </c>
      <c r="M138" s="417">
        <f t="shared" si="14"/>
        <v>3139.5</v>
      </c>
      <c r="N138" s="417">
        <f>+$M138*(1+'Unit tariffs'!$F$2)</f>
        <v>3318.4514999999997</v>
      </c>
      <c r="O138" s="417">
        <f>+$N138*(1+'Unit tariffs'!$F$2)</f>
        <v>3507.6032354999993</v>
      </c>
      <c r="P138" s="417">
        <f>+$O138*(1+'Unit tariffs'!$F$2)</f>
        <v>3707.5366199234991</v>
      </c>
      <c r="Q138" s="417">
        <f>+$P138*(1+'Unit tariffs'!$F$2)</f>
        <v>3918.8662072591383</v>
      </c>
      <c r="R138" s="795"/>
      <c r="S138" s="795"/>
      <c r="T138" s="795"/>
    </row>
    <row r="139" spans="1:20" ht="26" hidden="1" x14ac:dyDescent="0.35">
      <c r="A139" s="269"/>
      <c r="B139" s="514" t="s">
        <v>368</v>
      </c>
      <c r="C139" s="222"/>
      <c r="D139" s="201">
        <f>+'Calc Sheet 23_24'!H1949</f>
        <v>2420</v>
      </c>
      <c r="E139" s="522">
        <v>1295</v>
      </c>
      <c r="F139" s="606">
        <f>+'Calc Sheet 23_24'!H1949</f>
        <v>2420</v>
      </c>
      <c r="G139" s="379">
        <f>+'Calc Sheet 23_24'!I1949</f>
        <v>2730</v>
      </c>
      <c r="H139" s="228">
        <f t="shared" si="15"/>
        <v>0.128099173553719</v>
      </c>
      <c r="I139" s="229">
        <f t="shared" si="18"/>
        <v>409.5</v>
      </c>
      <c r="J139" s="562">
        <f t="shared" si="13"/>
        <v>3139.5</v>
      </c>
      <c r="K139" s="271">
        <v>9100033030416</v>
      </c>
      <c r="M139" s="417">
        <f t="shared" si="14"/>
        <v>3139.5</v>
      </c>
      <c r="N139" s="417">
        <f>+$M139*(1+'Unit tariffs'!$F$2)</f>
        <v>3318.4514999999997</v>
      </c>
      <c r="O139" s="417">
        <f>+$N139*(1+'Unit tariffs'!$F$2)</f>
        <v>3507.6032354999993</v>
      </c>
      <c r="P139" s="417">
        <f>+$O139*(1+'Unit tariffs'!$F$2)</f>
        <v>3707.5366199234991</v>
      </c>
      <c r="Q139" s="417">
        <f>+$P139*(1+'Unit tariffs'!$F$2)</f>
        <v>3918.8662072591383</v>
      </c>
      <c r="R139" s="795"/>
      <c r="S139" s="795"/>
      <c r="T139" s="795"/>
    </row>
    <row r="140" spans="1:20" hidden="1" x14ac:dyDescent="0.35">
      <c r="A140" s="269"/>
      <c r="B140" s="221" t="s">
        <v>135</v>
      </c>
      <c r="C140" s="222"/>
      <c r="D140" s="201">
        <f>'Calc Sheet 23_24'!H1981</f>
        <v>4470</v>
      </c>
      <c r="E140" s="521">
        <v>3210</v>
      </c>
      <c r="F140" s="606">
        <f>'Calc Sheet 23_24'!H1981</f>
        <v>4470</v>
      </c>
      <c r="G140" s="379">
        <f>'Calc Sheet 23_24'!I1981</f>
        <v>3540</v>
      </c>
      <c r="H140" s="228">
        <f t="shared" si="15"/>
        <v>-0.20805369127516779</v>
      </c>
      <c r="I140" s="229">
        <f t="shared" si="18"/>
        <v>531</v>
      </c>
      <c r="J140" s="562">
        <f t="shared" si="13"/>
        <v>4071</v>
      </c>
      <c r="K140" s="271">
        <v>9100033030416</v>
      </c>
      <c r="M140" s="417">
        <f t="shared" si="14"/>
        <v>4071</v>
      </c>
      <c r="N140" s="417">
        <f>+$M140*(1+'Unit tariffs'!$F$2)</f>
        <v>4303.0469999999996</v>
      </c>
      <c r="O140" s="417">
        <f>+$N140*(1+'Unit tariffs'!$F$2)</f>
        <v>4548.3206789999995</v>
      </c>
      <c r="P140" s="417">
        <f>+$O140*(1+'Unit tariffs'!$F$2)</f>
        <v>4807.5749577029992</v>
      </c>
      <c r="Q140" s="417">
        <f>+$P140*(1+'Unit tariffs'!$F$2)</f>
        <v>5081.6067302920701</v>
      </c>
      <c r="R140" s="795"/>
      <c r="S140" s="795"/>
      <c r="T140" s="795"/>
    </row>
    <row r="141" spans="1:20" hidden="1" x14ac:dyDescent="0.35">
      <c r="A141" s="269"/>
      <c r="B141" s="221" t="s">
        <v>136</v>
      </c>
      <c r="C141" s="222"/>
      <c r="D141" s="201">
        <f>+'Calc Sheet 23_24'!H2013</f>
        <v>10520</v>
      </c>
      <c r="E141" s="521">
        <v>9025</v>
      </c>
      <c r="F141" s="606">
        <f>+'Calc Sheet 23_24'!H2013</f>
        <v>10520</v>
      </c>
      <c r="G141" s="379">
        <f>+'Calc Sheet 23_24'!I2013</f>
        <v>2760</v>
      </c>
      <c r="H141" s="228">
        <f t="shared" si="15"/>
        <v>-0.73764258555133078</v>
      </c>
      <c r="I141" s="229">
        <f t="shared" si="18"/>
        <v>414</v>
      </c>
      <c r="J141" s="562">
        <f t="shared" si="13"/>
        <v>3174</v>
      </c>
      <c r="K141" s="271">
        <v>9100033030416</v>
      </c>
      <c r="M141" s="417">
        <f t="shared" si="14"/>
        <v>3174</v>
      </c>
      <c r="N141" s="417">
        <f>+$M141*(1+'Unit tariffs'!$F$2)</f>
        <v>3354.9179999999997</v>
      </c>
      <c r="O141" s="417">
        <f>+$N141*(1+'Unit tariffs'!$F$2)</f>
        <v>3546.1483259999995</v>
      </c>
      <c r="P141" s="417">
        <f>+$O141*(1+'Unit tariffs'!$F$2)</f>
        <v>3748.2787805819994</v>
      </c>
      <c r="Q141" s="417">
        <f>+$P141*(1+'Unit tariffs'!$F$2)</f>
        <v>3961.930671075173</v>
      </c>
      <c r="R141" s="795"/>
      <c r="S141" s="795"/>
      <c r="T141" s="795"/>
    </row>
    <row r="142" spans="1:20" ht="26" hidden="1" x14ac:dyDescent="0.35">
      <c r="A142" s="269"/>
      <c r="B142" s="514" t="s">
        <v>403</v>
      </c>
      <c r="C142" s="222"/>
      <c r="D142" s="201">
        <f>+'Calc Sheet 23_24'!H1731</f>
        <v>7830</v>
      </c>
      <c r="E142" s="521">
        <v>5990</v>
      </c>
      <c r="F142" s="606">
        <f>+'Calc Sheet 23_24'!H1731</f>
        <v>7830</v>
      </c>
      <c r="G142" s="379">
        <f>+'Calc Sheet 23_24'!I1731</f>
        <v>7340</v>
      </c>
      <c r="H142" s="244">
        <f t="shared" si="15"/>
        <v>-6.2579821200510852E-2</v>
      </c>
      <c r="I142" s="229">
        <f t="shared" si="18"/>
        <v>1101</v>
      </c>
      <c r="J142" s="562">
        <f>G142+I142</f>
        <v>8441</v>
      </c>
      <c r="K142" s="271">
        <v>9100033030416</v>
      </c>
      <c r="M142" s="417">
        <f t="shared" si="14"/>
        <v>8441</v>
      </c>
      <c r="N142" s="417">
        <f>+$M142*(1+'Unit tariffs'!$F$2)</f>
        <v>8922.1369999999988</v>
      </c>
      <c r="O142" s="417">
        <f>+$N142*(1+'Unit tariffs'!$F$2)</f>
        <v>9430.6988089999977</v>
      </c>
      <c r="P142" s="417">
        <f>+$O142*(1+'Unit tariffs'!$F$2)</f>
        <v>9968.2486411129976</v>
      </c>
      <c r="Q142" s="417">
        <f>+$P142*(1+'Unit tariffs'!$F$2)</f>
        <v>10536.438813656438</v>
      </c>
      <c r="R142" s="795"/>
      <c r="S142" s="795"/>
      <c r="T142" s="795"/>
    </row>
    <row r="143" spans="1:20" ht="33" hidden="1" customHeight="1" x14ac:dyDescent="0.35">
      <c r="A143" s="269"/>
      <c r="B143" s="514" t="s">
        <v>405</v>
      </c>
      <c r="C143" s="222"/>
      <c r="D143" s="201">
        <v>0</v>
      </c>
      <c r="E143" s="521"/>
      <c r="F143" s="606">
        <f>+'Calc Sheet 23_24'!H2082</f>
        <v>12300</v>
      </c>
      <c r="G143" s="379">
        <f>+'Calc Sheet 23_24'!I2082</f>
        <v>12300</v>
      </c>
      <c r="H143" s="244">
        <f t="shared" si="15"/>
        <v>0</v>
      </c>
      <c r="I143" s="229">
        <f t="shared" si="18"/>
        <v>1845</v>
      </c>
      <c r="J143" s="562">
        <f>G143+I143</f>
        <v>14145</v>
      </c>
      <c r="K143" s="271">
        <v>9100033030416</v>
      </c>
      <c r="M143" s="417">
        <f t="shared" si="14"/>
        <v>14145</v>
      </c>
      <c r="N143" s="417">
        <f>+$M143*(1+'Unit tariffs'!$F$2)</f>
        <v>14951.264999999999</v>
      </c>
      <c r="O143" s="417">
        <f>+$N143*(1+'Unit tariffs'!$F$2)</f>
        <v>15803.487104999998</v>
      </c>
      <c r="P143" s="417">
        <f>+$O143*(1+'Unit tariffs'!$F$2)</f>
        <v>16704.285869984997</v>
      </c>
      <c r="Q143" s="417">
        <f>+$P143*(1+'Unit tariffs'!$F$2)</f>
        <v>17656.43016457414</v>
      </c>
      <c r="R143" s="795"/>
      <c r="S143" s="795"/>
      <c r="T143" s="795"/>
    </row>
    <row r="144" spans="1:20" ht="26" hidden="1" x14ac:dyDescent="0.35">
      <c r="A144" s="269"/>
      <c r="B144" s="514" t="s">
        <v>404</v>
      </c>
      <c r="C144" s="222"/>
      <c r="D144" s="201">
        <f>+'Calc Sheet 23_24'!H2137</f>
        <v>18390</v>
      </c>
      <c r="E144" s="522">
        <v>16065</v>
      </c>
      <c r="F144" s="606">
        <f>+'Calc Sheet 23_24'!H2137</f>
        <v>18390</v>
      </c>
      <c r="G144" s="379">
        <f>+'Calc Sheet 23_24'!I2137</f>
        <v>10240</v>
      </c>
      <c r="H144" s="244">
        <f t="shared" si="15"/>
        <v>-0.44317563893420336</v>
      </c>
      <c r="I144" s="229">
        <f t="shared" si="18"/>
        <v>1536</v>
      </c>
      <c r="J144" s="562">
        <f>G144+I144</f>
        <v>11776</v>
      </c>
      <c r="K144" s="271">
        <v>9100033030416</v>
      </c>
      <c r="M144" s="417">
        <f t="shared" si="14"/>
        <v>11776</v>
      </c>
      <c r="N144" s="417">
        <f>+$M144*(1+'Unit tariffs'!$F$2)</f>
        <v>12447.232</v>
      </c>
      <c r="O144" s="417">
        <f>+$N144*(1+'Unit tariffs'!$F$2)</f>
        <v>13156.724224</v>
      </c>
      <c r="P144" s="417">
        <f>+$O144*(1+'Unit tariffs'!$F$2)</f>
        <v>13906.657504767998</v>
      </c>
      <c r="Q144" s="417">
        <f>+$P144*(1+'Unit tariffs'!$F$2)</f>
        <v>14699.336982539773</v>
      </c>
      <c r="R144" s="795"/>
      <c r="S144" s="795"/>
      <c r="T144" s="795"/>
    </row>
    <row r="145" spans="1:20" ht="33" hidden="1" customHeight="1" x14ac:dyDescent="0.35">
      <c r="A145" s="269"/>
      <c r="B145" s="514" t="s">
        <v>406</v>
      </c>
      <c r="C145" s="222"/>
      <c r="D145" s="201">
        <v>15894.94</v>
      </c>
      <c r="E145" s="521"/>
      <c r="F145" s="606">
        <f>+'Calc Sheet 23_24'!H2154</f>
        <v>41100</v>
      </c>
      <c r="G145" s="379">
        <f>+'Calc Sheet 23_24'!I2154</f>
        <v>41100</v>
      </c>
      <c r="H145" s="244">
        <f t="shared" si="15"/>
        <v>0</v>
      </c>
      <c r="I145" s="229">
        <f t="shared" si="18"/>
        <v>6165</v>
      </c>
      <c r="J145" s="562">
        <f t="shared" ref="J145" si="19">G145+I145</f>
        <v>47265</v>
      </c>
      <c r="K145" s="271">
        <v>9100033030416</v>
      </c>
      <c r="M145" s="417">
        <f t="shared" si="14"/>
        <v>47265</v>
      </c>
      <c r="N145" s="417">
        <f>+$M145*(1+'Unit tariffs'!$F$2)</f>
        <v>49959.104999999996</v>
      </c>
      <c r="O145" s="417">
        <f>+$N145*(1+'Unit tariffs'!$F$2)</f>
        <v>52806.773984999993</v>
      </c>
      <c r="P145" s="417">
        <f>+$O145*(1+'Unit tariffs'!$F$2)</f>
        <v>55816.760102144988</v>
      </c>
      <c r="Q145" s="417">
        <f>+$P145*(1+'Unit tariffs'!$F$2)</f>
        <v>58998.315427967253</v>
      </c>
      <c r="R145" s="795"/>
      <c r="S145" s="795"/>
      <c r="T145" s="795"/>
    </row>
    <row r="146" spans="1:20" hidden="1" x14ac:dyDescent="0.35">
      <c r="A146" s="269"/>
      <c r="B146" s="221" t="s">
        <v>137</v>
      </c>
      <c r="C146" s="222"/>
      <c r="D146" s="201">
        <f>+'Calc Sheet 23_24'!H2208</f>
        <v>26430</v>
      </c>
      <c r="E146" s="522">
        <v>20260</v>
      </c>
      <c r="F146" s="606">
        <f>+'Calc Sheet 23_24'!H2208</f>
        <v>26430</v>
      </c>
      <c r="G146" s="379">
        <f>+'Calc Sheet 23_24'!I2208</f>
        <v>25770</v>
      </c>
      <c r="H146" s="244">
        <f t="shared" si="12"/>
        <v>-2.4971623155505107E-2</v>
      </c>
      <c r="I146" s="229">
        <f t="shared" si="18"/>
        <v>3865.5</v>
      </c>
      <c r="J146" s="562">
        <f t="shared" si="13"/>
        <v>29635.5</v>
      </c>
      <c r="K146" s="271">
        <v>9100033030416</v>
      </c>
      <c r="M146" s="417">
        <f t="shared" si="14"/>
        <v>29635.5</v>
      </c>
      <c r="N146" s="417">
        <f>+$M146*(1+'Unit tariffs'!$F$2)</f>
        <v>31324.723499999996</v>
      </c>
      <c r="O146" s="417">
        <f>+$N146*(1+'Unit tariffs'!$F$2)</f>
        <v>33110.232739499996</v>
      </c>
      <c r="P146" s="417">
        <f>+$O146*(1+'Unit tariffs'!$F$2)</f>
        <v>34997.516005651494</v>
      </c>
      <c r="Q146" s="417">
        <f>+$P146*(1+'Unit tariffs'!$F$2)</f>
        <v>36992.374417973624</v>
      </c>
      <c r="R146" s="795"/>
      <c r="S146" s="795"/>
      <c r="T146" s="795"/>
    </row>
    <row r="147" spans="1:20" ht="23.25" hidden="1" customHeight="1" x14ac:dyDescent="0.35">
      <c r="A147" s="269"/>
      <c r="B147" s="514" t="s">
        <v>408</v>
      </c>
      <c r="C147" s="222"/>
      <c r="D147" s="201">
        <v>0</v>
      </c>
      <c r="E147" s="521"/>
      <c r="F147" s="606">
        <f>+'Calc Sheet 23_24'!H2225</f>
        <v>100000</v>
      </c>
      <c r="G147" s="379">
        <f>+'Calc Sheet 23_24'!I2225</f>
        <v>100000</v>
      </c>
      <c r="H147" s="244">
        <f t="shared" ref="H147:H149" si="20">(G147-F147)/F147</f>
        <v>0</v>
      </c>
      <c r="I147" s="229">
        <f t="shared" si="18"/>
        <v>15000</v>
      </c>
      <c r="J147" s="562">
        <f t="shared" si="13"/>
        <v>115000</v>
      </c>
      <c r="K147" s="271">
        <v>9100033030416</v>
      </c>
      <c r="M147" s="417">
        <f t="shared" si="14"/>
        <v>115000</v>
      </c>
      <c r="N147" s="417">
        <f>+$M147*(1+'Unit tariffs'!$F$2)</f>
        <v>121555</v>
      </c>
      <c r="O147" s="417">
        <f>+$N147*(1+'Unit tariffs'!$F$2)</f>
        <v>128483.63499999999</v>
      </c>
      <c r="P147" s="417">
        <f>+$O147*(1+'Unit tariffs'!$F$2)</f>
        <v>135807.20219499999</v>
      </c>
      <c r="Q147" s="417">
        <f>+$P147*(1+'Unit tariffs'!$F$2)</f>
        <v>143548.21272011497</v>
      </c>
      <c r="R147" s="795"/>
      <c r="S147" s="795"/>
      <c r="T147" s="795"/>
    </row>
    <row r="148" spans="1:20" ht="23.25" hidden="1" customHeight="1" x14ac:dyDescent="0.35">
      <c r="A148" s="269"/>
      <c r="B148" s="514" t="s">
        <v>409</v>
      </c>
      <c r="C148" s="222"/>
      <c r="D148" s="201">
        <v>0</v>
      </c>
      <c r="E148" s="521"/>
      <c r="F148" s="606">
        <f>+'Calc Sheet 23_24'!H2241</f>
        <v>170000</v>
      </c>
      <c r="G148" s="379">
        <f>+'Calc Sheet 23_24'!I2241</f>
        <v>170000</v>
      </c>
      <c r="H148" s="244">
        <f t="shared" si="20"/>
        <v>0</v>
      </c>
      <c r="I148" s="229">
        <f t="shared" si="18"/>
        <v>25500</v>
      </c>
      <c r="J148" s="562">
        <f t="shared" si="13"/>
        <v>195500</v>
      </c>
      <c r="K148" s="271">
        <v>9100033030416</v>
      </c>
      <c r="M148" s="417">
        <f t="shared" si="14"/>
        <v>195500</v>
      </c>
      <c r="N148" s="417">
        <f>+$M148*(1+'Unit tariffs'!$F$2)</f>
        <v>206643.5</v>
      </c>
      <c r="O148" s="417">
        <f>+$N148*(1+'Unit tariffs'!$F$2)</f>
        <v>218422.1795</v>
      </c>
      <c r="P148" s="417">
        <f>+$O148*(1+'Unit tariffs'!$F$2)</f>
        <v>230872.2437315</v>
      </c>
      <c r="Q148" s="417">
        <f>+$P148*(1+'Unit tariffs'!$F$2)</f>
        <v>244031.96162419548</v>
      </c>
      <c r="R148" s="795"/>
      <c r="S148" s="795"/>
      <c r="T148" s="795"/>
    </row>
    <row r="149" spans="1:20" hidden="1" x14ac:dyDescent="0.35">
      <c r="A149" s="269"/>
      <c r="B149" s="514" t="s">
        <v>412</v>
      </c>
      <c r="C149" s="222"/>
      <c r="D149" s="556">
        <v>954.07</v>
      </c>
      <c r="E149" s="521"/>
      <c r="F149" s="606">
        <f>+'Calc Sheet 23_24'!H2272</f>
        <v>1810</v>
      </c>
      <c r="G149" s="379">
        <f>+'Calc Sheet 23_24'!I2272</f>
        <v>1910</v>
      </c>
      <c r="H149" s="244">
        <f t="shared" si="20"/>
        <v>5.5248618784530384E-2</v>
      </c>
      <c r="I149" s="229">
        <f t="shared" si="18"/>
        <v>286.5</v>
      </c>
      <c r="J149" s="562">
        <f>+I149+G149</f>
        <v>2196.5</v>
      </c>
      <c r="K149" s="271">
        <v>9100033030416</v>
      </c>
      <c r="M149" s="417">
        <f>+L149+J149</f>
        <v>2196.5</v>
      </c>
      <c r="N149" s="417">
        <f>+$M149*(1+'Unit tariffs'!$F$2)</f>
        <v>2321.7004999999999</v>
      </c>
      <c r="O149" s="417">
        <f>+$N149*(1+'Unit tariffs'!$F$2)</f>
        <v>2454.0374284999998</v>
      </c>
      <c r="P149" s="417">
        <f>+$O149*(1+'Unit tariffs'!$F$2)</f>
        <v>2593.9175619244998</v>
      </c>
      <c r="Q149" s="417">
        <f>+$P149*(1+'Unit tariffs'!$F$2)</f>
        <v>2741.7708629541962</v>
      </c>
      <c r="R149" s="795"/>
      <c r="S149" s="795"/>
      <c r="T149" s="795"/>
    </row>
    <row r="150" spans="1:20" ht="20.25" hidden="1" customHeight="1" x14ac:dyDescent="0.35">
      <c r="A150" s="269"/>
      <c r="B150" s="558" t="s">
        <v>407</v>
      </c>
      <c r="C150" s="222"/>
      <c r="D150" s="201"/>
      <c r="E150" s="521"/>
      <c r="F150" s="606"/>
      <c r="G150" s="379"/>
      <c r="H150" s="244"/>
      <c r="I150" s="245"/>
      <c r="J150" s="562"/>
      <c r="K150" s="271">
        <v>9100033030416</v>
      </c>
      <c r="M150" s="417"/>
      <c r="N150" s="417"/>
      <c r="O150" s="417"/>
      <c r="P150" s="417"/>
      <c r="Q150" s="417"/>
      <c r="R150" s="795"/>
      <c r="S150" s="795"/>
      <c r="T150" s="795"/>
    </row>
    <row r="151" spans="1:20" ht="21" customHeight="1" thickTop="1" x14ac:dyDescent="0.35">
      <c r="A151" s="286"/>
      <c r="B151" s="322" t="s">
        <v>249</v>
      </c>
      <c r="C151" s="317"/>
      <c r="D151" s="305"/>
      <c r="E151" s="518"/>
      <c r="F151" s="604"/>
      <c r="G151" s="292"/>
      <c r="H151" s="290"/>
      <c r="I151" s="291"/>
      <c r="J151" s="569"/>
      <c r="K151" s="310"/>
      <c r="M151" s="413"/>
      <c r="N151" s="413"/>
      <c r="O151" s="413"/>
      <c r="P151" s="413"/>
      <c r="Q151" s="413"/>
      <c r="R151" s="795"/>
      <c r="S151" s="795"/>
      <c r="T151" s="795"/>
    </row>
    <row r="152" spans="1:20" ht="60" customHeight="1" x14ac:dyDescent="0.35">
      <c r="A152" s="269"/>
      <c r="B152" s="359" t="s">
        <v>250</v>
      </c>
      <c r="C152" s="246"/>
      <c r="D152" s="248" t="s">
        <v>251</v>
      </c>
      <c r="E152" s="537"/>
      <c r="F152" s="773" t="s">
        <v>344</v>
      </c>
      <c r="G152" s="644" t="s">
        <v>626</v>
      </c>
      <c r="H152" s="228">
        <v>4.7E-2</v>
      </c>
      <c r="I152" s="229"/>
      <c r="J152" s="570"/>
      <c r="K152" s="271">
        <v>9100033030416</v>
      </c>
      <c r="M152" s="417"/>
      <c r="N152" s="417"/>
      <c r="O152" s="417"/>
      <c r="P152" s="417"/>
      <c r="Q152" s="417"/>
      <c r="R152" s="795" t="s">
        <v>633</v>
      </c>
      <c r="S152" s="795" t="s">
        <v>633</v>
      </c>
      <c r="T152" s="795" t="s">
        <v>633</v>
      </c>
    </row>
    <row r="153" spans="1:20" ht="60" customHeight="1" x14ac:dyDescent="0.35">
      <c r="A153" s="269"/>
      <c r="B153" s="247" t="s">
        <v>252</v>
      </c>
      <c r="C153" s="246"/>
      <c r="D153" s="248" t="s">
        <v>251</v>
      </c>
      <c r="E153" s="537"/>
      <c r="F153" s="622" t="s">
        <v>344</v>
      </c>
      <c r="G153" s="644" t="s">
        <v>626</v>
      </c>
      <c r="H153" s="228">
        <v>4.7E-2</v>
      </c>
      <c r="I153" s="229"/>
      <c r="J153" s="570"/>
      <c r="K153" s="271">
        <v>9100033030416</v>
      </c>
      <c r="M153" s="417"/>
      <c r="N153" s="417"/>
      <c r="O153" s="417"/>
      <c r="P153" s="417"/>
      <c r="Q153" s="417"/>
      <c r="R153" s="795" t="s">
        <v>633</v>
      </c>
      <c r="S153" s="795" t="s">
        <v>633</v>
      </c>
      <c r="T153" s="795" t="s">
        <v>633</v>
      </c>
    </row>
    <row r="154" spans="1:20" ht="60" customHeight="1" x14ac:dyDescent="0.35">
      <c r="A154" s="269"/>
      <c r="B154" s="249" t="s">
        <v>258</v>
      </c>
      <c r="C154" s="246"/>
      <c r="D154" s="250" t="s">
        <v>253</v>
      </c>
      <c r="E154" s="538"/>
      <c r="F154" s="622" t="s">
        <v>343</v>
      </c>
      <c r="G154" s="644" t="s">
        <v>627</v>
      </c>
      <c r="H154" s="228">
        <v>4.7E-2</v>
      </c>
      <c r="I154" s="229"/>
      <c r="J154" s="570"/>
      <c r="K154" s="271">
        <v>9100033030416</v>
      </c>
      <c r="M154" s="417"/>
      <c r="N154" s="417"/>
      <c r="O154" s="417"/>
      <c r="P154" s="417"/>
      <c r="Q154" s="417"/>
      <c r="R154" s="795" t="s">
        <v>633</v>
      </c>
      <c r="S154" s="795" t="s">
        <v>633</v>
      </c>
      <c r="T154" s="795" t="s">
        <v>633</v>
      </c>
    </row>
    <row r="155" spans="1:20" ht="60" customHeight="1" x14ac:dyDescent="0.35">
      <c r="A155" s="269"/>
      <c r="B155" s="249" t="s">
        <v>345</v>
      </c>
      <c r="C155" s="246"/>
      <c r="D155" s="250" t="s">
        <v>254</v>
      </c>
      <c r="E155" s="538"/>
      <c r="F155" s="622" t="s">
        <v>255</v>
      </c>
      <c r="G155" s="644" t="s">
        <v>628</v>
      </c>
      <c r="H155" s="228">
        <v>4.7E-2</v>
      </c>
      <c r="I155" s="229"/>
      <c r="J155" s="570"/>
      <c r="K155" s="271">
        <v>9100033030416</v>
      </c>
      <c r="M155" s="417"/>
      <c r="N155" s="417"/>
      <c r="O155" s="417"/>
      <c r="P155" s="417"/>
      <c r="Q155" s="417"/>
      <c r="R155" s="795" t="s">
        <v>633</v>
      </c>
      <c r="S155" s="795" t="s">
        <v>633</v>
      </c>
      <c r="T155" s="795" t="s">
        <v>633</v>
      </c>
    </row>
    <row r="156" spans="1:20" ht="60" customHeight="1" x14ac:dyDescent="0.35">
      <c r="A156" s="269"/>
      <c r="B156" s="249" t="s">
        <v>346</v>
      </c>
      <c r="C156" s="246"/>
      <c r="D156" s="250" t="s">
        <v>255</v>
      </c>
      <c r="E156" s="538"/>
      <c r="F156" s="622" t="s">
        <v>342</v>
      </c>
      <c r="G156" s="644" t="s">
        <v>629</v>
      </c>
      <c r="H156" s="228">
        <v>4.7E-2</v>
      </c>
      <c r="I156" s="229"/>
      <c r="J156" s="570"/>
      <c r="K156" s="271">
        <v>9100033030416</v>
      </c>
      <c r="M156" s="417"/>
      <c r="N156" s="417"/>
      <c r="O156" s="417"/>
      <c r="P156" s="417"/>
      <c r="Q156" s="417"/>
      <c r="R156" s="795" t="s">
        <v>633</v>
      </c>
      <c r="S156" s="795" t="s">
        <v>633</v>
      </c>
      <c r="T156" s="795" t="s">
        <v>633</v>
      </c>
    </row>
    <row r="157" spans="1:20" ht="35.4" customHeight="1" x14ac:dyDescent="0.35">
      <c r="A157" s="269"/>
      <c r="B157" s="980" t="s">
        <v>256</v>
      </c>
      <c r="C157" s="981"/>
      <c r="D157" s="981"/>
      <c r="E157" s="981"/>
      <c r="F157" s="981"/>
      <c r="G157" s="981"/>
      <c r="H157" s="981"/>
      <c r="I157" s="981"/>
      <c r="J157" s="982"/>
      <c r="K157" s="271"/>
      <c r="M157" s="417"/>
      <c r="N157" s="417"/>
      <c r="O157" s="417"/>
      <c r="P157" s="417"/>
      <c r="Q157" s="417"/>
      <c r="R157" s="795" t="s">
        <v>633</v>
      </c>
      <c r="S157" s="795" t="s">
        <v>633</v>
      </c>
      <c r="T157" s="795" t="s">
        <v>633</v>
      </c>
    </row>
    <row r="158" spans="1:20" ht="15" thickBot="1" x14ac:dyDescent="0.4">
      <c r="A158" s="364"/>
      <c r="B158" s="365"/>
      <c r="C158" s="375"/>
      <c r="D158" s="376"/>
      <c r="E158" s="539"/>
      <c r="F158" s="623"/>
      <c r="G158" s="388"/>
      <c r="H158" s="361"/>
      <c r="I158" s="362"/>
      <c r="J158" s="571"/>
      <c r="K158" s="363"/>
      <c r="M158" s="427"/>
      <c r="N158" s="427"/>
      <c r="O158" s="427"/>
      <c r="P158" s="427"/>
      <c r="Q158" s="427"/>
      <c r="R158" s="795"/>
      <c r="S158" s="795"/>
      <c r="T158" s="795"/>
    </row>
    <row r="159" spans="1:20" ht="19.5" customHeight="1" x14ac:dyDescent="0.35">
      <c r="A159" s="261"/>
      <c r="B159" s="262" t="s">
        <v>148</v>
      </c>
      <c r="C159" s="374"/>
      <c r="D159" s="368" t="s">
        <v>74</v>
      </c>
      <c r="E159" s="529"/>
      <c r="F159" s="613" t="s">
        <v>74</v>
      </c>
      <c r="G159" s="370" t="s">
        <v>74</v>
      </c>
      <c r="H159" s="369" t="s">
        <v>85</v>
      </c>
      <c r="I159" s="52" t="s">
        <v>441</v>
      </c>
      <c r="J159" s="370" t="s">
        <v>138</v>
      </c>
      <c r="K159" s="371" t="s">
        <v>75</v>
      </c>
      <c r="M159" s="670" t="s">
        <v>138</v>
      </c>
      <c r="N159" s="670" t="s">
        <v>138</v>
      </c>
      <c r="O159" s="670" t="s">
        <v>138</v>
      </c>
      <c r="P159" s="670" t="s">
        <v>138</v>
      </c>
      <c r="Q159" s="670" t="s">
        <v>138</v>
      </c>
      <c r="R159" s="795"/>
      <c r="S159" s="795"/>
      <c r="T159" s="795"/>
    </row>
    <row r="160" spans="1:20" x14ac:dyDescent="0.35">
      <c r="A160" s="269"/>
      <c r="B160" s="227"/>
      <c r="C160" s="226"/>
      <c r="D160" s="328" t="s">
        <v>77</v>
      </c>
      <c r="E160" s="516"/>
      <c r="F160" s="602" t="s">
        <v>77</v>
      </c>
      <c r="G160" s="224" t="s">
        <v>77</v>
      </c>
      <c r="H160" s="327" t="s">
        <v>86</v>
      </c>
      <c r="I160" s="643">
        <f>+'Unit tariffs'!F$3</f>
        <v>0.15</v>
      </c>
      <c r="J160" s="224" t="s">
        <v>139</v>
      </c>
      <c r="K160" s="325" t="s">
        <v>78</v>
      </c>
      <c r="M160" s="667" t="s">
        <v>139</v>
      </c>
      <c r="N160" s="667" t="s">
        <v>139</v>
      </c>
      <c r="O160" s="667" t="s">
        <v>139</v>
      </c>
      <c r="P160" s="667" t="s">
        <v>139</v>
      </c>
      <c r="Q160" s="667" t="s">
        <v>139</v>
      </c>
      <c r="R160" s="795"/>
      <c r="S160" s="795"/>
      <c r="T160" s="795"/>
    </row>
    <row r="161" spans="1:20" x14ac:dyDescent="0.35">
      <c r="A161" s="269"/>
      <c r="B161" s="227" t="s">
        <v>105</v>
      </c>
      <c r="C161" s="226"/>
      <c r="D161" s="328" t="str">
        <f>D$4</f>
        <v>2016/2017</v>
      </c>
      <c r="E161" s="516"/>
      <c r="F161" s="665" t="str">
        <f>'Calc Sheet 23_24'!$H$11</f>
        <v>2025/2026</v>
      </c>
      <c r="G161" s="224" t="str">
        <f>'Calc Sheet 23_24'!$I$11</f>
        <v>2026/2027</v>
      </c>
      <c r="H161" s="327" t="str">
        <f>G161</f>
        <v>2026/2027</v>
      </c>
      <c r="I161" s="52" t="str">
        <f>G161</f>
        <v>2026/2027</v>
      </c>
      <c r="J161" s="224" t="str">
        <f>I161</f>
        <v>2026/2027</v>
      </c>
      <c r="K161" s="325" t="s">
        <v>79</v>
      </c>
      <c r="M161" s="667" t="s">
        <v>451</v>
      </c>
      <c r="N161" s="667" t="s">
        <v>578</v>
      </c>
      <c r="O161" s="667" t="s">
        <v>579</v>
      </c>
      <c r="P161" s="667" t="s">
        <v>580</v>
      </c>
      <c r="Q161" s="667" t="s">
        <v>620</v>
      </c>
      <c r="R161" s="795"/>
      <c r="S161" s="795"/>
      <c r="T161" s="795"/>
    </row>
    <row r="162" spans="1:20" ht="15" thickBot="1" x14ac:dyDescent="0.4">
      <c r="A162" s="293"/>
      <c r="B162" s="294"/>
      <c r="C162" s="295"/>
      <c r="D162" s="331" t="s">
        <v>80</v>
      </c>
      <c r="E162" s="517"/>
      <c r="F162" s="603" t="s">
        <v>80</v>
      </c>
      <c r="G162" s="334" t="s">
        <v>80</v>
      </c>
      <c r="H162" s="332"/>
      <c r="I162" s="333"/>
      <c r="J162" s="334"/>
      <c r="K162" s="335"/>
      <c r="M162" s="411"/>
      <c r="N162" s="411"/>
      <c r="O162" s="411"/>
      <c r="P162" s="411"/>
      <c r="Q162" s="411"/>
      <c r="R162" s="795"/>
      <c r="S162" s="795"/>
      <c r="T162" s="795"/>
    </row>
    <row r="163" spans="1:20" ht="16" thickTop="1" x14ac:dyDescent="0.35">
      <c r="A163" s="286"/>
      <c r="B163" s="303"/>
      <c r="C163" s="317"/>
      <c r="D163" s="318"/>
      <c r="E163" s="540"/>
      <c r="F163" s="624"/>
      <c r="G163" s="389"/>
      <c r="H163" s="319"/>
      <c r="I163" s="320"/>
      <c r="J163" s="572"/>
      <c r="K163" s="321"/>
      <c r="M163" s="429"/>
      <c r="N163" s="429"/>
      <c r="O163" s="429"/>
      <c r="P163" s="429"/>
      <c r="Q163" s="429"/>
      <c r="R163" s="795"/>
      <c r="S163" s="795"/>
      <c r="T163" s="795"/>
    </row>
    <row r="164" spans="1:20" ht="25" hidden="1" x14ac:dyDescent="0.35">
      <c r="A164" s="269"/>
      <c r="B164" s="249" t="s">
        <v>257</v>
      </c>
      <c r="C164" s="251"/>
      <c r="D164" s="378">
        <v>82.004999999999995</v>
      </c>
      <c r="E164" s="541"/>
      <c r="F164" s="625">
        <v>93.186873780000013</v>
      </c>
      <c r="G164" s="390">
        <f>+F164*(1+'Unit tariffs'!$F$2)</f>
        <v>98.498525585460015</v>
      </c>
      <c r="H164" s="228">
        <f t="shared" ref="H164:H165" si="21">(G164-F164)/F164</f>
        <v>5.7000000000000016E-2</v>
      </c>
      <c r="I164" s="229">
        <f t="shared" ref="I164:I165" si="22">G164*I$3</f>
        <v>14.774778837819001</v>
      </c>
      <c r="J164" s="573">
        <f>+I164+G164</f>
        <v>113.27330442327901</v>
      </c>
      <c r="K164" s="351">
        <v>9100033030416</v>
      </c>
      <c r="L164" s="151"/>
      <c r="M164" s="417">
        <f>11.67</f>
        <v>11.67</v>
      </c>
      <c r="N164" s="417">
        <f>+$M164*(1+'Unit tariffs'!$F$2)</f>
        <v>12.335189999999999</v>
      </c>
      <c r="O164" s="417">
        <f>+$N164*(1+'Unit tariffs'!$F$2)</f>
        <v>13.038295829999997</v>
      </c>
      <c r="P164" s="417">
        <f>+$O164*(1+'Unit tariffs'!$F$2)</f>
        <v>13.781478692309996</v>
      </c>
      <c r="Q164" s="417">
        <f>+$P164*(1+'Unit tariffs'!$F$2)</f>
        <v>14.567022977771664</v>
      </c>
      <c r="R164" s="795"/>
      <c r="S164" s="795"/>
      <c r="T164" s="795"/>
    </row>
    <row r="165" spans="1:20" hidden="1" x14ac:dyDescent="0.35">
      <c r="A165" s="269"/>
      <c r="B165" s="216" t="s">
        <v>319</v>
      </c>
      <c r="C165" s="253"/>
      <c r="D165" s="378">
        <v>63.9</v>
      </c>
      <c r="E165" s="541"/>
      <c r="F165" s="625">
        <v>72.613148400000014</v>
      </c>
      <c r="G165" s="390">
        <f>+F165*(1+'Unit tariffs'!$F$2)</f>
        <v>76.752097858800013</v>
      </c>
      <c r="H165" s="228">
        <f t="shared" si="21"/>
        <v>5.6999999999999974E-2</v>
      </c>
      <c r="I165" s="229">
        <f t="shared" si="22"/>
        <v>11.512814678820002</v>
      </c>
      <c r="J165" s="574">
        <f>+I165+G165</f>
        <v>88.26491253762002</v>
      </c>
      <c r="K165" s="351">
        <v>9100033030416</v>
      </c>
      <c r="M165" s="417">
        <f>+L165+J165</f>
        <v>88.26491253762002</v>
      </c>
      <c r="N165" s="417">
        <f>+$M165*(1+'Unit tariffs'!$F$2)</f>
        <v>93.296012552264358</v>
      </c>
      <c r="O165" s="417">
        <f>+$N165*(1+'Unit tariffs'!$F$2)</f>
        <v>98.613885267743427</v>
      </c>
      <c r="P165" s="417">
        <f>+$O165*(1+'Unit tariffs'!$F$2)</f>
        <v>104.23487672800479</v>
      </c>
      <c r="Q165" s="417">
        <f>+$P165*(1+'Unit tariffs'!$F$2)</f>
        <v>110.17626470150105</v>
      </c>
      <c r="R165" s="795"/>
      <c r="S165" s="795"/>
      <c r="T165" s="795"/>
    </row>
    <row r="166" spans="1:20" x14ac:dyDescent="0.35">
      <c r="A166" s="269"/>
      <c r="B166" s="216"/>
      <c r="C166" s="254"/>
      <c r="D166" s="259"/>
      <c r="E166" s="542"/>
      <c r="F166" s="626"/>
      <c r="G166" s="258"/>
      <c r="H166" s="260"/>
      <c r="I166" s="255"/>
      <c r="J166" s="575"/>
      <c r="K166" s="352"/>
      <c r="M166" s="431"/>
      <c r="N166" s="431"/>
      <c r="O166" s="431"/>
      <c r="P166" s="431"/>
      <c r="Q166" s="417"/>
      <c r="R166" s="795"/>
      <c r="S166" s="795"/>
      <c r="T166" s="795"/>
    </row>
    <row r="167" spans="1:20" x14ac:dyDescent="0.35">
      <c r="A167" s="269"/>
      <c r="B167" s="216" t="s">
        <v>320</v>
      </c>
      <c r="C167" s="254"/>
      <c r="D167" s="259"/>
      <c r="E167" s="542"/>
      <c r="F167" s="626"/>
      <c r="G167" s="258"/>
      <c r="H167" s="260"/>
      <c r="I167" s="255"/>
      <c r="J167" s="575"/>
      <c r="K167" s="352"/>
      <c r="M167" s="431"/>
      <c r="N167" s="431"/>
      <c r="O167" s="431"/>
      <c r="P167" s="431"/>
      <c r="Q167" s="417"/>
      <c r="R167" s="795"/>
      <c r="S167" s="795"/>
      <c r="T167" s="795"/>
    </row>
    <row r="168" spans="1:20" x14ac:dyDescent="0.35">
      <c r="A168" s="269"/>
      <c r="B168" s="216" t="s">
        <v>274</v>
      </c>
      <c r="C168" s="254"/>
      <c r="D168" s="259">
        <v>170.13374999999999</v>
      </c>
      <c r="E168" s="542"/>
      <c r="F168" s="625">
        <v>193.33250761500003</v>
      </c>
      <c r="G168" s="390">
        <f>+F168*(1+'Unit tariffs'!$F$2)</f>
        <v>204.35246054905502</v>
      </c>
      <c r="H168" s="228">
        <f t="shared" ref="H168" si="23">(G168-F168)/F168</f>
        <v>5.6999999999999988E-2</v>
      </c>
      <c r="I168" s="229">
        <f>G168*I$3</f>
        <v>30.652869082358251</v>
      </c>
      <c r="J168" s="574">
        <f>+I168+G168</f>
        <v>235.00532963141328</v>
      </c>
      <c r="K168" s="351">
        <v>9100033030416</v>
      </c>
      <c r="M168" s="417">
        <f>+L168+J168</f>
        <v>235.00532963141328</v>
      </c>
      <c r="N168" s="417">
        <f>+$M168*(1+'Unit tariffs'!$F$2)</f>
        <v>248.40063342040381</v>
      </c>
      <c r="O168" s="417">
        <f>+$N168*(1+'Unit tariffs'!$F$2)</f>
        <v>262.55946952536681</v>
      </c>
      <c r="P168" s="417">
        <f>+$O168*(1+'Unit tariffs'!$F$2)</f>
        <v>277.5253592883127</v>
      </c>
      <c r="Q168" s="417">
        <f>+$P168*(1+'Unit tariffs'!$F$2)</f>
        <v>293.34430476774651</v>
      </c>
      <c r="R168" s="795" t="s">
        <v>633</v>
      </c>
      <c r="S168" s="795" t="s">
        <v>633</v>
      </c>
      <c r="T168" s="795" t="s">
        <v>633</v>
      </c>
    </row>
    <row r="169" spans="1:20" ht="21.75" hidden="1" customHeight="1" x14ac:dyDescent="0.35">
      <c r="A169" s="276" t="s">
        <v>263</v>
      </c>
      <c r="B169" s="256"/>
      <c r="C169" s="254"/>
      <c r="D169" s="259"/>
      <c r="E169" s="542"/>
      <c r="F169" s="626"/>
      <c r="G169" s="258"/>
      <c r="H169" s="260"/>
      <c r="I169" s="257"/>
      <c r="J169" s="576"/>
      <c r="K169" s="352"/>
      <c r="M169" s="433"/>
      <c r="N169" s="433"/>
      <c r="O169" s="433"/>
      <c r="P169" s="433"/>
      <c r="Q169" s="417"/>
      <c r="R169" s="795" t="s">
        <v>633</v>
      </c>
      <c r="S169" s="795" t="s">
        <v>633</v>
      </c>
      <c r="T169" s="795" t="s">
        <v>633</v>
      </c>
    </row>
    <row r="170" spans="1:20" hidden="1" x14ac:dyDescent="0.35">
      <c r="A170" s="269"/>
      <c r="B170" s="216" t="s">
        <v>321</v>
      </c>
      <c r="C170" s="254"/>
      <c r="D170" s="378">
        <v>63.768319353000003</v>
      </c>
      <c r="E170" s="541"/>
      <c r="F170" s="625">
        <v>72.46351230669768</v>
      </c>
      <c r="G170" s="390">
        <f>+F170*(1+'Unit tariffs'!$F$2)</f>
        <v>76.593932508179449</v>
      </c>
      <c r="H170" s="228">
        <f t="shared" ref="H170" si="24">(G170-F170)/F170</f>
        <v>5.7000000000000016E-2</v>
      </c>
      <c r="I170" s="229">
        <f>G170*I$3</f>
        <v>11.489089876226917</v>
      </c>
      <c r="J170" s="574">
        <f>+I170+G170</f>
        <v>88.083022384406362</v>
      </c>
      <c r="K170" s="352"/>
      <c r="M170" s="417">
        <f>+L170+J170</f>
        <v>88.083022384406362</v>
      </c>
      <c r="N170" s="417">
        <f>+$M170*(1+'Unit tariffs'!$F$2)</f>
        <v>93.10375466031752</v>
      </c>
      <c r="O170" s="417">
        <f>+$N170*(1+'Unit tariffs'!$F$2)</f>
        <v>98.41066867595562</v>
      </c>
      <c r="P170" s="417">
        <f>+$O170*(1+'Unit tariffs'!$F$2)</f>
        <v>104.02007679048508</v>
      </c>
      <c r="Q170" s="417">
        <f>+$P170*(1+'Unit tariffs'!$F$2)</f>
        <v>109.94922116754272</v>
      </c>
      <c r="R170" s="795" t="s">
        <v>633</v>
      </c>
      <c r="S170" s="795" t="s">
        <v>633</v>
      </c>
      <c r="T170" s="795" t="s">
        <v>633</v>
      </c>
    </row>
    <row r="171" spans="1:20" hidden="1" x14ac:dyDescent="0.35">
      <c r="A171" s="276" t="s">
        <v>264</v>
      </c>
      <c r="B171" s="227"/>
      <c r="C171" s="254"/>
      <c r="D171" s="259"/>
      <c r="E171" s="542"/>
      <c r="F171" s="626"/>
      <c r="G171" s="258"/>
      <c r="H171" s="260"/>
      <c r="I171" s="254"/>
      <c r="J171" s="577"/>
      <c r="K171" s="352"/>
      <c r="M171" s="435"/>
      <c r="N171" s="435"/>
      <c r="O171" s="435"/>
      <c r="P171" s="435"/>
      <c r="Q171" s="417"/>
      <c r="R171" s="795" t="s">
        <v>633</v>
      </c>
      <c r="S171" s="795" t="s">
        <v>633</v>
      </c>
      <c r="T171" s="795" t="s">
        <v>633</v>
      </c>
    </row>
    <row r="172" spans="1:20" hidden="1" x14ac:dyDescent="0.35">
      <c r="A172" s="269"/>
      <c r="B172" s="216" t="s">
        <v>322</v>
      </c>
      <c r="C172" s="254"/>
      <c r="D172" s="378">
        <v>379.45599614999998</v>
      </c>
      <c r="E172" s="541"/>
      <c r="F172" s="625">
        <v>431.19709796102939</v>
      </c>
      <c r="G172" s="390">
        <f>+F172*(1+'Unit tariffs'!$F$2)</f>
        <v>455.77533254480801</v>
      </c>
      <c r="H172" s="228">
        <f t="shared" ref="H172" si="25">(G172-F172)/F172</f>
        <v>5.6999999999999884E-2</v>
      </c>
      <c r="I172" s="229">
        <f t="shared" ref="I172:I176" si="26">G172*I$3</f>
        <v>68.366299881721204</v>
      </c>
      <c r="J172" s="574">
        <f t="shared" ref="J172:J176" si="27">+I172+G172</f>
        <v>524.14163242652921</v>
      </c>
      <c r="K172" s="352"/>
      <c r="M172" s="417">
        <f>+L172+J172</f>
        <v>524.14163242652921</v>
      </c>
      <c r="N172" s="417">
        <f>+$M172*(1+'Unit tariffs'!$F$2)</f>
        <v>554.01770547484136</v>
      </c>
      <c r="O172" s="417">
        <f>+$N172*(1+'Unit tariffs'!$F$2)</f>
        <v>585.59671468690726</v>
      </c>
      <c r="P172" s="417">
        <f>+$O172*(1+'Unit tariffs'!$F$2)</f>
        <v>618.97572742406089</v>
      </c>
      <c r="Q172" s="417">
        <f>+$P172*(1+'Unit tariffs'!$F$2)</f>
        <v>654.25734388723231</v>
      </c>
      <c r="R172" s="795" t="s">
        <v>633</v>
      </c>
      <c r="S172" s="795" t="s">
        <v>633</v>
      </c>
      <c r="T172" s="795" t="s">
        <v>633</v>
      </c>
    </row>
    <row r="173" spans="1:20" hidden="1" x14ac:dyDescent="0.35">
      <c r="A173" s="269"/>
      <c r="B173" s="216" t="s">
        <v>323</v>
      </c>
      <c r="C173" s="254"/>
      <c r="D173" s="511">
        <f>+D172*1.33</f>
        <v>504.67647487950001</v>
      </c>
      <c r="E173" s="543"/>
      <c r="F173" s="627">
        <v>0</v>
      </c>
      <c r="G173" s="662" t="s">
        <v>447</v>
      </c>
      <c r="H173" s="510"/>
      <c r="I173" s="229"/>
      <c r="J173" s="578"/>
      <c r="K173" s="352"/>
      <c r="M173" s="417"/>
      <c r="N173" s="417"/>
      <c r="O173" s="417"/>
      <c r="P173" s="417"/>
      <c r="Q173" s="417"/>
      <c r="R173" s="795" t="s">
        <v>633</v>
      </c>
      <c r="S173" s="795" t="s">
        <v>633</v>
      </c>
      <c r="T173" s="795" t="s">
        <v>633</v>
      </c>
    </row>
    <row r="174" spans="1:20" hidden="1" x14ac:dyDescent="0.35">
      <c r="A174" s="269"/>
      <c r="B174" s="216" t="s">
        <v>324</v>
      </c>
      <c r="C174" s="254"/>
      <c r="D174" s="512">
        <v>1300.9796274750001</v>
      </c>
      <c r="E174" s="544"/>
      <c r="F174" s="628">
        <v>1478.3760055589814</v>
      </c>
      <c r="G174" s="390">
        <f>+F174*(1+'Unit tariffs'!$F$2)</f>
        <v>1562.6434378758433</v>
      </c>
      <c r="H174" s="228">
        <f t="shared" ref="H174" si="28">(G174-F174)/F174</f>
        <v>5.6999999999999981E-2</v>
      </c>
      <c r="I174" s="229">
        <f t="shared" si="26"/>
        <v>234.39651568137648</v>
      </c>
      <c r="J174" s="574">
        <f t="shared" si="27"/>
        <v>1797.0399535572199</v>
      </c>
      <c r="K174" s="352"/>
      <c r="M174" s="417">
        <f>+L174+J174</f>
        <v>1797.0399535572199</v>
      </c>
      <c r="N174" s="417">
        <f>+$M174*(1+'Unit tariffs'!$F$2)</f>
        <v>1899.4712309099814</v>
      </c>
      <c r="O174" s="417">
        <f>+$N174*(1+'Unit tariffs'!$F$2)</f>
        <v>2007.7410910718502</v>
      </c>
      <c r="P174" s="417">
        <f>+$O174*(1+'Unit tariffs'!$F$2)</f>
        <v>2122.1823332629456</v>
      </c>
      <c r="Q174" s="417">
        <f>+$P174*(1+'Unit tariffs'!$F$2)</f>
        <v>2243.1467262589335</v>
      </c>
      <c r="R174" s="795" t="s">
        <v>633</v>
      </c>
      <c r="S174" s="795" t="s">
        <v>633</v>
      </c>
      <c r="T174" s="795" t="s">
        <v>633</v>
      </c>
    </row>
    <row r="175" spans="1:20" hidden="1" x14ac:dyDescent="0.35">
      <c r="A175" s="269"/>
      <c r="B175" s="216" t="s">
        <v>325</v>
      </c>
      <c r="C175" s="254"/>
      <c r="D175" s="511">
        <f>+D174*1.33</f>
        <v>1730.3029045417502</v>
      </c>
      <c r="E175" s="543"/>
      <c r="F175" s="627">
        <v>0</v>
      </c>
      <c r="G175" s="662" t="s">
        <v>447</v>
      </c>
      <c r="H175" s="510"/>
      <c r="I175" s="229"/>
      <c r="J175" s="578"/>
      <c r="K175" s="352"/>
      <c r="M175" s="417"/>
      <c r="N175" s="417"/>
      <c r="O175" s="417"/>
      <c r="P175" s="417"/>
      <c r="Q175" s="417"/>
      <c r="R175" s="795" t="s">
        <v>633</v>
      </c>
      <c r="S175" s="795" t="s">
        <v>633</v>
      </c>
      <c r="T175" s="795" t="s">
        <v>633</v>
      </c>
    </row>
    <row r="176" spans="1:20" hidden="1" x14ac:dyDescent="0.35">
      <c r="A176" s="269"/>
      <c r="B176" s="216" t="s">
        <v>326</v>
      </c>
      <c r="C176" s="254"/>
      <c r="D176" s="512">
        <v>2710.3752538500003</v>
      </c>
      <c r="E176" s="544"/>
      <c r="F176" s="628">
        <v>3079.9511819639715</v>
      </c>
      <c r="G176" s="390">
        <f>+F176*(1+'Unit tariffs'!$F$2)</f>
        <v>3255.5083993359176</v>
      </c>
      <c r="H176" s="228">
        <f t="shared" ref="H176" si="29">(G176-F176)/F176</f>
        <v>5.6999999999999905E-2</v>
      </c>
      <c r="I176" s="229">
        <f t="shared" si="26"/>
        <v>488.32625990038764</v>
      </c>
      <c r="J176" s="574">
        <f t="shared" si="27"/>
        <v>3743.834659236305</v>
      </c>
      <c r="K176" s="352"/>
      <c r="M176" s="417">
        <f>+L176+J176</f>
        <v>3743.834659236305</v>
      </c>
      <c r="N176" s="417">
        <f>+$M176*(1+'Unit tariffs'!$F$2)</f>
        <v>3957.2332348127743</v>
      </c>
      <c r="O176" s="417">
        <f>+$N176*(1+'Unit tariffs'!$F$2)</f>
        <v>4182.795529197102</v>
      </c>
      <c r="P176" s="417">
        <f>+$O176*(1+'Unit tariffs'!$F$2)</f>
        <v>4421.214874361337</v>
      </c>
      <c r="Q176" s="417">
        <f>+$P176*(1+'Unit tariffs'!$F$2)</f>
        <v>4673.2241221999329</v>
      </c>
      <c r="R176" s="795" t="s">
        <v>633</v>
      </c>
      <c r="S176" s="795" t="s">
        <v>633</v>
      </c>
      <c r="T176" s="795" t="s">
        <v>633</v>
      </c>
    </row>
    <row r="177" spans="1:20" hidden="1" x14ac:dyDescent="0.35">
      <c r="A177" s="269"/>
      <c r="B177" s="216" t="s">
        <v>327</v>
      </c>
      <c r="C177" s="254"/>
      <c r="D177" s="511">
        <f>+D176*1.33</f>
        <v>3604.7990876205004</v>
      </c>
      <c r="E177" s="543"/>
      <c r="F177" s="627">
        <v>0</v>
      </c>
      <c r="G177" s="662" t="s">
        <v>447</v>
      </c>
      <c r="H177" s="510"/>
      <c r="I177" s="229"/>
      <c r="J177" s="578"/>
      <c r="K177" s="352"/>
      <c r="M177" s="417"/>
      <c r="N177" s="417"/>
      <c r="O177" s="417"/>
      <c r="P177" s="417"/>
      <c r="Q177" s="417"/>
      <c r="R177" s="795" t="s">
        <v>633</v>
      </c>
      <c r="S177" s="795" t="s">
        <v>633</v>
      </c>
      <c r="T177" s="795" t="s">
        <v>633</v>
      </c>
    </row>
    <row r="178" spans="1:20" hidden="1" x14ac:dyDescent="0.35">
      <c r="A178" s="269"/>
      <c r="B178" s="216"/>
      <c r="C178" s="254"/>
      <c r="D178" s="378"/>
      <c r="E178" s="541"/>
      <c r="F178" s="625"/>
      <c r="G178" s="390"/>
      <c r="H178" s="354"/>
      <c r="I178" s="252"/>
      <c r="J178" s="577"/>
      <c r="K178" s="352"/>
      <c r="M178" s="435"/>
      <c r="N178" s="435"/>
      <c r="O178" s="435"/>
      <c r="P178" s="435"/>
      <c r="Q178" s="417"/>
      <c r="R178" s="795" t="s">
        <v>633</v>
      </c>
      <c r="S178" s="795" t="s">
        <v>633</v>
      </c>
      <c r="T178" s="795" t="s">
        <v>633</v>
      </c>
    </row>
    <row r="179" spans="1:20" hidden="1" x14ac:dyDescent="0.35">
      <c r="A179" s="314" t="s">
        <v>268</v>
      </c>
      <c r="B179" s="315"/>
      <c r="C179" s="312"/>
      <c r="D179" s="316"/>
      <c r="E179" s="545"/>
      <c r="F179" s="629"/>
      <c r="G179" s="313"/>
      <c r="H179" s="355"/>
      <c r="I179" s="312"/>
      <c r="J179" s="579"/>
      <c r="K179" s="353"/>
      <c r="M179" s="437"/>
      <c r="N179" s="437"/>
      <c r="O179" s="437"/>
      <c r="P179" s="437"/>
      <c r="Q179" s="417"/>
      <c r="R179" s="795" t="s">
        <v>633</v>
      </c>
      <c r="S179" s="795" t="s">
        <v>633</v>
      </c>
      <c r="T179" s="795" t="s">
        <v>633</v>
      </c>
    </row>
    <row r="180" spans="1:20" ht="19.5" hidden="1" customHeight="1" x14ac:dyDescent="0.35">
      <c r="A180" s="269"/>
      <c r="B180" s="216" t="s">
        <v>269</v>
      </c>
      <c r="C180" s="254"/>
      <c r="D180" s="259">
        <v>500</v>
      </c>
      <c r="E180" s="542"/>
      <c r="F180" s="626">
        <v>639.6</v>
      </c>
      <c r="G180" s="390">
        <f>+F180*(1+'Unit tariffs'!$F$2)</f>
        <v>676.05719999999997</v>
      </c>
      <c r="H180" s="228">
        <f t="shared" ref="H180:H183" si="30">(G180-F180)/F180</f>
        <v>5.6999999999999912E-2</v>
      </c>
      <c r="I180" s="229">
        <f t="shared" ref="I180:I181" si="31">G180*I$3</f>
        <v>101.40857999999999</v>
      </c>
      <c r="J180" s="574">
        <f>+I180+G180</f>
        <v>777.46578</v>
      </c>
      <c r="K180" s="352"/>
      <c r="M180" s="417">
        <f>+L180+J180</f>
        <v>777.46578</v>
      </c>
      <c r="N180" s="417">
        <f>+$M180*(1+'Unit tariffs'!$F$2)</f>
        <v>821.78132945999994</v>
      </c>
      <c r="O180" s="417">
        <f>+$N180*(1+'Unit tariffs'!$F$2)</f>
        <v>868.62286523921989</v>
      </c>
      <c r="P180" s="417">
        <f>+$O180*(1+'Unit tariffs'!$F$2)</f>
        <v>918.1343685578554</v>
      </c>
      <c r="Q180" s="417">
        <f>+$P180*(1+'Unit tariffs'!$F$2)</f>
        <v>970.46802756565307</v>
      </c>
      <c r="R180" s="795" t="s">
        <v>633</v>
      </c>
      <c r="S180" s="795" t="s">
        <v>633</v>
      </c>
      <c r="T180" s="795" t="s">
        <v>633</v>
      </c>
    </row>
    <row r="181" spans="1:20" hidden="1" x14ac:dyDescent="0.35">
      <c r="A181" s="269"/>
      <c r="B181" s="216" t="s">
        <v>270</v>
      </c>
      <c r="C181" s="254"/>
      <c r="D181" s="259">
        <v>1500</v>
      </c>
      <c r="E181" s="542"/>
      <c r="F181" s="626">
        <v>1705.6000000000001</v>
      </c>
      <c r="G181" s="390">
        <f>+F181*(1+'Unit tariffs'!$F$2)</f>
        <v>1802.8192000000001</v>
      </c>
      <c r="H181" s="228">
        <f t="shared" si="30"/>
        <v>5.6999999999999995E-2</v>
      </c>
      <c r="I181" s="229">
        <f t="shared" si="31"/>
        <v>270.42288000000002</v>
      </c>
      <c r="J181" s="574">
        <f>+I181+G181</f>
        <v>2073.24208</v>
      </c>
      <c r="K181" s="352"/>
      <c r="M181" s="417">
        <f>+L181+J181</f>
        <v>2073.24208</v>
      </c>
      <c r="N181" s="417">
        <f>+$M181*(1+'Unit tariffs'!$F$2)</f>
        <v>2191.41687856</v>
      </c>
      <c r="O181" s="417">
        <f>+$N181*(1+'Unit tariffs'!$F$2)</f>
        <v>2316.32764063792</v>
      </c>
      <c r="P181" s="417">
        <f>+$O181*(1+'Unit tariffs'!$F$2)</f>
        <v>2448.3583161542815</v>
      </c>
      <c r="Q181" s="417">
        <f>+$P181*(1+'Unit tariffs'!$F$2)</f>
        <v>2587.9147401750756</v>
      </c>
      <c r="R181" s="795" t="s">
        <v>633</v>
      </c>
      <c r="S181" s="795" t="s">
        <v>633</v>
      </c>
      <c r="T181" s="795" t="s">
        <v>633</v>
      </c>
    </row>
    <row r="182" spans="1:20" hidden="1" x14ac:dyDescent="0.35">
      <c r="A182" s="269"/>
      <c r="B182" s="216" t="s">
        <v>348</v>
      </c>
      <c r="C182" s="254"/>
      <c r="D182" s="259">
        <v>6600</v>
      </c>
      <c r="E182" s="542"/>
      <c r="F182" s="626">
        <v>7568.6</v>
      </c>
      <c r="G182" s="390">
        <f>+F182*(1+'Unit tariffs'!$F$2)</f>
        <v>8000.0101999999997</v>
      </c>
      <c r="H182" s="228">
        <f t="shared" si="30"/>
        <v>5.6999999999999912E-2</v>
      </c>
      <c r="I182" s="252"/>
      <c r="J182" s="577"/>
      <c r="K182" s="352"/>
      <c r="M182" s="417">
        <f>+L182+J182</f>
        <v>0</v>
      </c>
      <c r="N182" s="435"/>
      <c r="O182" s="435"/>
      <c r="P182" s="435"/>
      <c r="Q182" s="417"/>
      <c r="R182" s="795" t="s">
        <v>633</v>
      </c>
      <c r="S182" s="795" t="s">
        <v>633</v>
      </c>
      <c r="T182" s="795" t="s">
        <v>633</v>
      </c>
    </row>
    <row r="183" spans="1:20" hidden="1" x14ac:dyDescent="0.35">
      <c r="A183" s="269"/>
      <c r="B183" s="216" t="s">
        <v>351</v>
      </c>
      <c r="C183" s="254"/>
      <c r="D183" s="259">
        <v>6600</v>
      </c>
      <c r="E183" s="542"/>
      <c r="F183" s="626">
        <v>7568.6</v>
      </c>
      <c r="G183" s="390">
        <f>+F183*(1+'Unit tariffs'!$F$2)</f>
        <v>8000.0101999999997</v>
      </c>
      <c r="H183" s="228">
        <f t="shared" si="30"/>
        <v>5.6999999999999912E-2</v>
      </c>
      <c r="I183" s="254"/>
      <c r="J183" s="577"/>
      <c r="K183" s="352"/>
      <c r="M183" s="417">
        <f>+L183+J183</f>
        <v>0</v>
      </c>
      <c r="N183" s="435"/>
      <c r="O183" s="435"/>
      <c r="P183" s="435"/>
      <c r="Q183" s="417"/>
      <c r="R183" s="795" t="s">
        <v>633</v>
      </c>
      <c r="S183" s="795" t="s">
        <v>633</v>
      </c>
      <c r="T183" s="795" t="s">
        <v>633</v>
      </c>
    </row>
    <row r="184" spans="1:20" ht="30" hidden="1" customHeight="1" x14ac:dyDescent="0.35">
      <c r="A184" s="276" t="s">
        <v>276</v>
      </c>
      <c r="B184" s="221"/>
      <c r="C184" s="254"/>
      <c r="D184" s="259"/>
      <c r="E184" s="542"/>
      <c r="F184" s="626"/>
      <c r="G184" s="258"/>
      <c r="H184" s="260"/>
      <c r="I184" s="254"/>
      <c r="J184" s="577"/>
      <c r="K184" s="352"/>
      <c r="M184" s="435"/>
      <c r="N184" s="435"/>
      <c r="O184" s="435"/>
      <c r="P184" s="435"/>
      <c r="Q184" s="417"/>
      <c r="R184" s="795" t="s">
        <v>633</v>
      </c>
      <c r="S184" s="795" t="s">
        <v>633</v>
      </c>
      <c r="T184" s="795" t="s">
        <v>633</v>
      </c>
    </row>
    <row r="185" spans="1:20" ht="18" hidden="1" customHeight="1" x14ac:dyDescent="0.35">
      <c r="A185" s="269"/>
      <c r="B185" s="216" t="s">
        <v>265</v>
      </c>
      <c r="C185" s="254"/>
      <c r="D185" s="259">
        <v>2280</v>
      </c>
      <c r="E185" s="542"/>
      <c r="F185" s="626">
        <v>2665</v>
      </c>
      <c r="G185" s="390">
        <f>+F185*(1+'Unit tariffs'!$F$2)</f>
        <v>2816.9049999999997</v>
      </c>
      <c r="H185" s="228">
        <f t="shared" ref="H185:H187" si="32">(G185-F185)/F185</f>
        <v>5.6999999999999905E-2</v>
      </c>
      <c r="I185" s="229">
        <f t="shared" ref="I185:I187" si="33">G185*I$3</f>
        <v>422.53574999999995</v>
      </c>
      <c r="J185" s="577">
        <f>+G185+I185</f>
        <v>3239.4407499999998</v>
      </c>
      <c r="K185" s="352"/>
      <c r="M185" s="417">
        <f>+J185+L185</f>
        <v>3239.4407499999998</v>
      </c>
      <c r="N185" s="417">
        <f>+$M185*(1+'Unit tariffs'!$F$2)</f>
        <v>3424.0888727499996</v>
      </c>
      <c r="O185" s="417">
        <f>+$N185*(1+'Unit tariffs'!$F$2)</f>
        <v>3619.2619384967493</v>
      </c>
      <c r="P185" s="417">
        <f>+$O185*(1+'Unit tariffs'!$F$2)</f>
        <v>3825.5598689910639</v>
      </c>
      <c r="Q185" s="417">
        <f>+$P185*(1+'Unit tariffs'!$F$2)</f>
        <v>4043.6167815235544</v>
      </c>
      <c r="R185" s="795" t="s">
        <v>633</v>
      </c>
      <c r="S185" s="795" t="s">
        <v>633</v>
      </c>
      <c r="T185" s="795" t="s">
        <v>633</v>
      </c>
    </row>
    <row r="186" spans="1:20" hidden="1" x14ac:dyDescent="0.35">
      <c r="A186" s="269"/>
      <c r="B186" s="216" t="s">
        <v>266</v>
      </c>
      <c r="C186" s="254"/>
      <c r="D186" s="259">
        <v>11400</v>
      </c>
      <c r="E186" s="542"/>
      <c r="F186" s="626">
        <v>13005.2</v>
      </c>
      <c r="G186" s="390">
        <f>+F186*(1+'Unit tariffs'!$F$2)</f>
        <v>13746.4964</v>
      </c>
      <c r="H186" s="228">
        <f t="shared" si="32"/>
        <v>5.699999999999994E-2</v>
      </c>
      <c r="I186" s="229">
        <f t="shared" si="33"/>
        <v>2061.9744599999999</v>
      </c>
      <c r="J186" s="577">
        <f t="shared" ref="J186:J187" si="34">+G186+I186</f>
        <v>15808.470859999999</v>
      </c>
      <c r="K186" s="352"/>
      <c r="M186" s="417">
        <f>+J186+L186</f>
        <v>15808.470859999999</v>
      </c>
      <c r="N186" s="417">
        <f>+$M186*(1+'Unit tariffs'!$F$2)</f>
        <v>16709.553699019998</v>
      </c>
      <c r="O186" s="417">
        <f>+$N186*(1+'Unit tariffs'!$F$2)</f>
        <v>17661.998259864136</v>
      </c>
      <c r="P186" s="417">
        <f>+$O186*(1+'Unit tariffs'!$F$2)</f>
        <v>18668.732160676391</v>
      </c>
      <c r="Q186" s="417">
        <f>+$P186*(1+'Unit tariffs'!$F$2)</f>
        <v>19732.849893834944</v>
      </c>
      <c r="R186" s="795" t="s">
        <v>633</v>
      </c>
      <c r="S186" s="795" t="s">
        <v>633</v>
      </c>
      <c r="T186" s="795" t="s">
        <v>633</v>
      </c>
    </row>
    <row r="187" spans="1:20" hidden="1" x14ac:dyDescent="0.35">
      <c r="A187" s="269"/>
      <c r="B187" s="216" t="s">
        <v>267</v>
      </c>
      <c r="C187" s="254"/>
      <c r="D187" s="259">
        <v>57000</v>
      </c>
      <c r="E187" s="542"/>
      <c r="F187" s="626">
        <v>65026</v>
      </c>
      <c r="G187" s="390">
        <f>+F187*(1+'Unit tariffs'!$F$2)</f>
        <v>68732.481999999989</v>
      </c>
      <c r="H187" s="228">
        <f t="shared" si="32"/>
        <v>5.6999999999999829E-2</v>
      </c>
      <c r="I187" s="229">
        <f t="shared" si="33"/>
        <v>10309.872299999997</v>
      </c>
      <c r="J187" s="577">
        <f t="shared" si="34"/>
        <v>79042.354299999992</v>
      </c>
      <c r="K187" s="352"/>
      <c r="M187" s="417">
        <f>+J187+L187</f>
        <v>79042.354299999992</v>
      </c>
      <c r="N187" s="417">
        <f>+$M187*(1+'Unit tariffs'!$F$2)</f>
        <v>83547.768495099983</v>
      </c>
      <c r="O187" s="417">
        <f>+$N187*(1+'Unit tariffs'!$F$2)</f>
        <v>88309.991299320682</v>
      </c>
      <c r="P187" s="417">
        <f>+$O187*(1+'Unit tariffs'!$F$2)</f>
        <v>93343.66080338195</v>
      </c>
      <c r="Q187" s="417">
        <f>+$P187*(1+'Unit tariffs'!$F$2)</f>
        <v>98664.249469174712</v>
      </c>
      <c r="R187" s="795" t="s">
        <v>633</v>
      </c>
      <c r="S187" s="795" t="s">
        <v>633</v>
      </c>
      <c r="T187" s="795" t="s">
        <v>633</v>
      </c>
    </row>
    <row r="188" spans="1:20" ht="13.25" hidden="1" customHeight="1" x14ac:dyDescent="0.3">
      <c r="A188" s="893" t="s">
        <v>277</v>
      </c>
      <c r="B188" s="894"/>
      <c r="C188" s="895"/>
      <c r="D188" s="254"/>
      <c r="E188" s="254"/>
      <c r="F188" s="254"/>
      <c r="G188" s="254"/>
      <c r="H188" s="228"/>
      <c r="I188" s="254"/>
      <c r="J188" s="580"/>
      <c r="K188" s="352"/>
      <c r="M188" s="435"/>
      <c r="N188" s="435"/>
      <c r="O188" s="435"/>
      <c r="P188" s="435"/>
      <c r="Q188" s="435"/>
      <c r="R188" s="795" t="s">
        <v>633</v>
      </c>
      <c r="S188" s="795" t="s">
        <v>633</v>
      </c>
      <c r="T188" s="795" t="s">
        <v>633</v>
      </c>
    </row>
    <row r="189" spans="1:20" ht="13.25" hidden="1" customHeight="1" x14ac:dyDescent="0.3">
      <c r="A189" s="893" t="s">
        <v>278</v>
      </c>
      <c r="B189" s="894"/>
      <c r="C189" s="895"/>
      <c r="D189" s="254"/>
      <c r="E189" s="254"/>
      <c r="F189" s="254"/>
      <c r="G189" s="254"/>
      <c r="H189" s="260"/>
      <c r="I189" s="254"/>
      <c r="J189" s="580"/>
      <c r="K189" s="352"/>
      <c r="M189" s="435"/>
      <c r="N189" s="435"/>
      <c r="O189" s="435"/>
      <c r="P189" s="435"/>
      <c r="Q189" s="435"/>
      <c r="R189" s="795" t="s">
        <v>633</v>
      </c>
      <c r="S189" s="795" t="s">
        <v>633</v>
      </c>
      <c r="T189" s="795" t="s">
        <v>633</v>
      </c>
    </row>
    <row r="190" spans="1:20" x14ac:dyDescent="0.35">
      <c r="A190" s="269"/>
      <c r="B190" s="221"/>
      <c r="C190" s="222"/>
      <c r="D190" s="217"/>
      <c r="E190" s="217"/>
      <c r="F190" s="217"/>
      <c r="G190" s="217"/>
      <c r="H190" s="219"/>
      <c r="I190" s="216"/>
      <c r="J190" s="581"/>
      <c r="K190" s="270"/>
      <c r="M190" s="415"/>
      <c r="N190" s="415"/>
      <c r="O190" s="415"/>
      <c r="P190" s="415"/>
      <c r="Q190" s="415"/>
      <c r="R190" s="795"/>
      <c r="S190" s="795"/>
      <c r="T190" s="795"/>
    </row>
    <row r="191" spans="1:20" x14ac:dyDescent="0.35">
      <c r="A191" s="276" t="s">
        <v>106</v>
      </c>
      <c r="B191" s="227"/>
      <c r="C191" s="222"/>
      <c r="D191" s="217"/>
      <c r="E191" s="217"/>
      <c r="F191" s="217"/>
      <c r="G191" s="217"/>
      <c r="H191" s="219"/>
      <c r="I191" s="216"/>
      <c r="J191" s="581"/>
      <c r="K191" s="270"/>
      <c r="M191" s="415"/>
      <c r="N191" s="415"/>
      <c r="O191" s="415"/>
      <c r="P191" s="415"/>
      <c r="Q191" s="415"/>
      <c r="R191" s="704"/>
      <c r="S191" s="704"/>
      <c r="T191" s="704"/>
    </row>
    <row r="192" spans="1:20" x14ac:dyDescent="0.35">
      <c r="A192" s="276" t="s">
        <v>130</v>
      </c>
      <c r="B192" s="227"/>
      <c r="C192" s="222"/>
      <c r="D192" s="217"/>
      <c r="E192" s="217"/>
      <c r="F192" s="217"/>
      <c r="G192" s="217"/>
      <c r="H192" s="223"/>
      <c r="I192" s="216"/>
      <c r="J192" s="581"/>
      <c r="K192" s="270"/>
      <c r="M192" s="415"/>
      <c r="N192" s="415"/>
      <c r="O192" s="415"/>
      <c r="P192" s="415"/>
      <c r="Q192" s="415"/>
      <c r="R192" s="704"/>
      <c r="S192" s="704"/>
      <c r="T192" s="704"/>
    </row>
    <row r="193" spans="1:20" ht="19.5" customHeight="1" x14ac:dyDescent="0.35">
      <c r="A193" s="276" t="s">
        <v>107</v>
      </c>
      <c r="B193" s="227"/>
      <c r="C193" s="222"/>
      <c r="D193" s="217"/>
      <c r="E193" s="217"/>
      <c r="F193" s="217"/>
      <c r="G193" s="217"/>
      <c r="H193" s="219"/>
      <c r="I193" s="216"/>
      <c r="J193" s="581"/>
      <c r="K193" s="270"/>
      <c r="M193" s="415"/>
      <c r="N193" s="415"/>
      <c r="O193" s="415"/>
      <c r="P193" s="415"/>
      <c r="Q193" s="415"/>
      <c r="R193" s="704"/>
      <c r="S193" s="704"/>
      <c r="T193" s="704"/>
    </row>
    <row r="194" spans="1:20" ht="18.75" customHeight="1" x14ac:dyDescent="0.35">
      <c r="A194" s="269" t="s">
        <v>110</v>
      </c>
      <c r="B194" s="221"/>
      <c r="C194" s="222"/>
      <c r="D194" s="217"/>
      <c r="E194" s="217"/>
      <c r="F194" s="217"/>
      <c r="G194" s="217"/>
      <c r="H194" s="219"/>
      <c r="I194" s="216"/>
      <c r="J194" s="581"/>
      <c r="K194" s="270"/>
      <c r="M194" s="415"/>
      <c r="N194" s="415"/>
      <c r="O194" s="415"/>
      <c r="P194" s="415"/>
      <c r="Q194" s="415"/>
      <c r="R194" s="704"/>
      <c r="S194" s="704"/>
      <c r="T194" s="704"/>
    </row>
    <row r="195" spans="1:20" x14ac:dyDescent="0.35">
      <c r="A195" s="269"/>
      <c r="B195" s="221"/>
      <c r="C195" s="222"/>
      <c r="D195" s="217"/>
      <c r="E195" s="217"/>
      <c r="F195" s="217"/>
      <c r="G195" s="217"/>
      <c r="H195" s="219"/>
      <c r="I195" s="216"/>
      <c r="J195" s="581"/>
      <c r="K195" s="270"/>
      <c r="M195" s="415"/>
      <c r="N195" s="415"/>
      <c r="O195" s="415"/>
      <c r="P195" s="415"/>
      <c r="Q195" s="415"/>
      <c r="R195" s="704"/>
      <c r="S195" s="704"/>
      <c r="T195" s="704"/>
    </row>
    <row r="196" spans="1:20" x14ac:dyDescent="0.35">
      <c r="A196" s="276" t="s">
        <v>273</v>
      </c>
      <c r="B196" s="221"/>
      <c r="C196" s="222"/>
      <c r="D196" s="217"/>
      <c r="E196" s="217"/>
      <c r="F196" s="217"/>
      <c r="G196" s="217"/>
      <c r="H196" s="219"/>
      <c r="I196" s="216"/>
      <c r="J196" s="581"/>
      <c r="K196" s="270"/>
      <c r="M196" s="415"/>
      <c r="N196" s="415"/>
      <c r="O196" s="415"/>
      <c r="P196" s="415"/>
      <c r="Q196" s="415"/>
      <c r="R196" s="704"/>
      <c r="S196" s="704"/>
      <c r="T196" s="704"/>
    </row>
    <row r="197" spans="1:20" x14ac:dyDescent="0.35">
      <c r="A197" s="276" t="s">
        <v>271</v>
      </c>
      <c r="B197" s="221"/>
      <c r="C197" s="222"/>
      <c r="D197" s="217"/>
      <c r="E197" s="217"/>
      <c r="F197" s="217"/>
      <c r="G197" s="217"/>
      <c r="H197" s="219"/>
      <c r="I197" s="216"/>
      <c r="J197" s="581"/>
      <c r="K197" s="270"/>
      <c r="M197" s="415"/>
      <c r="N197" s="415"/>
      <c r="O197" s="415"/>
      <c r="P197" s="415"/>
      <c r="Q197" s="415"/>
      <c r="R197" s="704"/>
      <c r="S197" s="704"/>
      <c r="T197" s="704"/>
    </row>
    <row r="198" spans="1:20" ht="15" thickBot="1" x14ac:dyDescent="0.4">
      <c r="A198" s="277" t="s">
        <v>272</v>
      </c>
      <c r="B198" s="278"/>
      <c r="C198" s="279"/>
      <c r="D198" s="280"/>
      <c r="E198" s="280"/>
      <c r="F198" s="280"/>
      <c r="G198" s="280"/>
      <c r="H198" s="282"/>
      <c r="I198" s="283"/>
      <c r="J198" s="582"/>
      <c r="K198" s="285"/>
      <c r="L198" s="395"/>
      <c r="M198" s="421"/>
      <c r="N198" s="421"/>
      <c r="O198" s="421"/>
      <c r="P198" s="421"/>
      <c r="Q198" s="421"/>
      <c r="R198" s="704"/>
      <c r="S198" s="704"/>
      <c r="T198" s="704"/>
    </row>
    <row r="199" spans="1:20" x14ac:dyDescent="0.35">
      <c r="R199" s="704"/>
      <c r="S199" s="704"/>
      <c r="T199" s="704"/>
    </row>
  </sheetData>
  <mergeCells count="4">
    <mergeCell ref="A188:C188"/>
    <mergeCell ref="A189:C189"/>
    <mergeCell ref="B157:J157"/>
    <mergeCell ref="R1:T4"/>
  </mergeCells>
  <pageMargins left="0.25" right="0.25" top="0.75" bottom="0.75" header="0.3" footer="0.3"/>
  <pageSetup paperSize="8" scale="60" orientation="landscape" r:id="rId1"/>
  <rowBreaks count="4" manualBreakCount="4">
    <brk id="63" max="16383" man="1"/>
    <brk id="90" max="16383" man="1"/>
    <brk id="127" max="16383" man="1"/>
    <brk id="15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249977111117893"/>
  </sheetPr>
  <dimension ref="A1:N204"/>
  <sheetViews>
    <sheetView topLeftCell="A67" zoomScale="85" zoomScaleNormal="85" workbookViewId="0">
      <selection activeCell="A77" sqref="A77:XFD81"/>
    </sheetView>
  </sheetViews>
  <sheetFormatPr defaultColWidth="8.90625" defaultRowHeight="14.5" x14ac:dyDescent="0.35"/>
  <cols>
    <col min="1" max="1" width="1.6328125" style="2" customWidth="1"/>
    <col min="2" max="2" width="80.36328125" style="195" customWidth="1"/>
    <col min="3" max="3" width="13" style="197" customWidth="1"/>
    <col min="4" max="4" width="23.36328125" style="199" hidden="1" customWidth="1"/>
    <col min="5" max="5" width="21.36328125" style="199" hidden="1" customWidth="1"/>
    <col min="6" max="7" width="22" style="200" bestFit="1" customWidth="1"/>
    <col min="8" max="8" width="13" style="196" customWidth="1"/>
    <col min="9" max="9" width="11.90625" style="2" customWidth="1"/>
    <col min="10" max="10" width="12.36328125" style="584" customWidth="1"/>
    <col min="11" max="11" width="20.54296875" style="2" customWidth="1"/>
    <col min="12" max="12" width="19" style="2" hidden="1" customWidth="1"/>
    <col min="13" max="13" width="14.54296875" style="393" customWidth="1"/>
    <col min="14" max="14" width="15.453125" style="393" customWidth="1"/>
    <col min="15" max="16384" width="8.90625" style="2"/>
  </cols>
  <sheetData>
    <row r="1" spans="1:14" ht="15.5" x14ac:dyDescent="0.35">
      <c r="A1" s="261"/>
      <c r="B1" s="262" t="s">
        <v>448</v>
      </c>
      <c r="C1" s="263"/>
      <c r="D1" s="264"/>
      <c r="E1" s="515" t="s">
        <v>369</v>
      </c>
      <c r="F1" s="601"/>
      <c r="G1" s="267"/>
      <c r="H1" s="265"/>
      <c r="I1" s="266"/>
      <c r="J1" s="559"/>
      <c r="K1" s="268"/>
      <c r="L1" s="394"/>
      <c r="M1" s="406"/>
      <c r="N1" s="407"/>
    </row>
    <row r="2" spans="1:14" ht="14.4" customHeight="1" x14ac:dyDescent="0.35">
      <c r="A2" s="269"/>
      <c r="B2" s="221" t="s">
        <v>1</v>
      </c>
      <c r="C2" s="222"/>
      <c r="D2" s="328" t="s">
        <v>317</v>
      </c>
      <c r="E2" s="516" t="s">
        <v>74</v>
      </c>
      <c r="F2" s="602" t="s">
        <v>74</v>
      </c>
      <c r="G2" s="224" t="s">
        <v>74</v>
      </c>
      <c r="H2" s="327" t="s">
        <v>85</v>
      </c>
      <c r="I2" s="52" t="s">
        <v>441</v>
      </c>
      <c r="J2" s="224" t="s">
        <v>138</v>
      </c>
      <c r="K2" s="325" t="s">
        <v>75</v>
      </c>
      <c r="M2" s="666" t="s">
        <v>138</v>
      </c>
      <c r="N2" s="667" t="s">
        <v>138</v>
      </c>
    </row>
    <row r="3" spans="1:14" x14ac:dyDescent="0.35">
      <c r="A3" s="269"/>
      <c r="B3" s="307" t="s">
        <v>330</v>
      </c>
      <c r="C3" s="226"/>
      <c r="D3" s="328" t="s">
        <v>318</v>
      </c>
      <c r="E3" s="516" t="s">
        <v>318</v>
      </c>
      <c r="F3" s="602" t="s">
        <v>318</v>
      </c>
      <c r="G3" s="224" t="s">
        <v>318</v>
      </c>
      <c r="H3" s="327" t="s">
        <v>86</v>
      </c>
      <c r="I3" s="643">
        <f>+'Unit tariffs'!F$3</f>
        <v>0.15</v>
      </c>
      <c r="J3" s="224" t="s">
        <v>139</v>
      </c>
      <c r="K3" s="325" t="s">
        <v>78</v>
      </c>
      <c r="M3" s="666" t="s">
        <v>139</v>
      </c>
      <c r="N3" s="667" t="s">
        <v>139</v>
      </c>
    </row>
    <row r="4" spans="1:14" x14ac:dyDescent="0.35">
      <c r="A4" s="269"/>
      <c r="B4" s="221" t="s">
        <v>1</v>
      </c>
      <c r="C4" s="226" t="s">
        <v>328</v>
      </c>
      <c r="D4" s="328" t="s">
        <v>279</v>
      </c>
      <c r="E4" s="516" t="str">
        <f>'Calc Sheet 23_24'!H11</f>
        <v>2025/2026</v>
      </c>
      <c r="F4" s="665" t="str">
        <f>'Calc Sheet 23_24'!$H$11</f>
        <v>2025/2026</v>
      </c>
      <c r="G4" s="224" t="str">
        <f>'Calc Sheet 23_24'!$I$11</f>
        <v>2026/2027</v>
      </c>
      <c r="H4" s="327" t="str">
        <f>G4</f>
        <v>2026/2027</v>
      </c>
      <c r="I4" s="52" t="str">
        <f>G4</f>
        <v>2026/2027</v>
      </c>
      <c r="J4" s="224" t="str">
        <f>I4</f>
        <v>2026/2027</v>
      </c>
      <c r="K4" s="325" t="s">
        <v>79</v>
      </c>
      <c r="M4" s="666" t="s">
        <v>431</v>
      </c>
      <c r="N4" s="667" t="s">
        <v>451</v>
      </c>
    </row>
    <row r="5" spans="1:14" ht="15" thickBot="1" x14ac:dyDescent="0.4">
      <c r="A5" s="293"/>
      <c r="B5" s="309" t="s">
        <v>1</v>
      </c>
      <c r="C5" s="295" t="s">
        <v>329</v>
      </c>
      <c r="D5" s="331" t="s">
        <v>80</v>
      </c>
      <c r="E5" s="517" t="s">
        <v>80</v>
      </c>
      <c r="F5" s="603" t="s">
        <v>80</v>
      </c>
      <c r="G5" s="334" t="s">
        <v>80</v>
      </c>
      <c r="H5" s="332"/>
      <c r="I5" s="333"/>
      <c r="J5" s="334"/>
      <c r="K5" s="335"/>
      <c r="M5" s="410"/>
      <c r="N5" s="411"/>
    </row>
    <row r="6" spans="1:14" ht="15" thickTop="1" x14ac:dyDescent="0.35">
      <c r="A6" s="286"/>
      <c r="B6" s="315"/>
      <c r="C6" s="329"/>
      <c r="D6" s="305"/>
      <c r="E6" s="518"/>
      <c r="F6" s="604"/>
      <c r="G6" s="292"/>
      <c r="H6" s="290"/>
      <c r="I6" s="291"/>
      <c r="J6" s="560"/>
      <c r="K6" s="310"/>
      <c r="M6" s="412"/>
      <c r="N6" s="413"/>
    </row>
    <row r="7" spans="1:14" ht="24" customHeight="1" x14ac:dyDescent="0.35">
      <c r="A7" s="269"/>
      <c r="B7" s="226" t="s">
        <v>104</v>
      </c>
      <c r="C7" s="226"/>
      <c r="D7" s="377"/>
      <c r="E7" s="519"/>
      <c r="F7" s="605"/>
      <c r="G7" s="220"/>
      <c r="H7" s="219"/>
      <c r="I7" s="216"/>
      <c r="J7" s="561"/>
      <c r="K7" s="270"/>
      <c r="M7" s="414"/>
      <c r="N7" s="415"/>
    </row>
    <row r="8" spans="1:14" x14ac:dyDescent="0.35">
      <c r="A8" s="269"/>
      <c r="B8" s="227" t="str">
        <f>'Calc Sheet 23_24'!B5</f>
        <v>1. NEW SINGLE PHASE CONNECTIONS: URBAN</v>
      </c>
      <c r="C8" s="226"/>
      <c r="D8" s="218"/>
      <c r="E8" s="520"/>
      <c r="F8" s="605"/>
      <c r="G8" s="220"/>
      <c r="H8" s="219"/>
      <c r="I8" s="216"/>
      <c r="J8" s="561"/>
      <c r="K8" s="270"/>
      <c r="M8" s="414"/>
      <c r="N8" s="415"/>
    </row>
    <row r="9" spans="1:14" x14ac:dyDescent="0.35">
      <c r="A9" s="269"/>
      <c r="B9" s="227"/>
      <c r="C9" s="226"/>
      <c r="D9" s="218"/>
      <c r="E9" s="520"/>
      <c r="F9" s="605"/>
      <c r="G9" s="220"/>
      <c r="H9" s="219"/>
      <c r="I9" s="216"/>
      <c r="J9" s="561"/>
      <c r="K9" s="270"/>
      <c r="M9" s="414"/>
      <c r="N9" s="415"/>
    </row>
    <row r="10" spans="1:14" ht="26" x14ac:dyDescent="0.35">
      <c r="A10" s="269"/>
      <c r="B10" s="221" t="str">
        <f>'Calc Sheet 23_24'!B7</f>
        <v xml:space="preserve">1.1  Single phase overhead connection with Split Pre-payment meter taken from overhead network   - No Ready board   </v>
      </c>
      <c r="C10" s="222" t="s">
        <v>240</v>
      </c>
      <c r="D10" s="201">
        <f>'Calc Sheet 23_24'!H37</f>
        <v>7150</v>
      </c>
      <c r="E10" s="521">
        <v>6225</v>
      </c>
      <c r="F10" s="606">
        <f>+'Calc Sheet 23_24'!H37</f>
        <v>7150</v>
      </c>
      <c r="G10" s="379">
        <f>'Calc Sheet 23_24'!I37</f>
        <v>7330</v>
      </c>
      <c r="H10" s="228">
        <f>(G10-F10)/F10</f>
        <v>2.5174825174825177E-2</v>
      </c>
      <c r="I10" s="229">
        <f>G10*I$3</f>
        <v>1099.5</v>
      </c>
      <c r="J10" s="562">
        <f>G10+I10</f>
        <v>8429.5</v>
      </c>
      <c r="K10" s="271">
        <v>9100033030416</v>
      </c>
      <c r="M10" s="416">
        <f>+$J10*(1+'Unit tariffs'!$F$2)</f>
        <v>8909.9814999999999</v>
      </c>
      <c r="N10" s="417">
        <f>+$M10*(1+'Unit tariffs'!$F$2)</f>
        <v>9417.8504455000002</v>
      </c>
    </row>
    <row r="11" spans="1:14" x14ac:dyDescent="0.35">
      <c r="A11" s="269"/>
      <c r="B11" s="221"/>
      <c r="C11" s="222"/>
      <c r="D11" s="201"/>
      <c r="E11" s="521"/>
      <c r="F11" s="606"/>
      <c r="G11" s="379"/>
      <c r="H11" s="228"/>
      <c r="I11" s="228"/>
      <c r="J11" s="563"/>
      <c r="K11" s="272"/>
      <c r="M11" s="418"/>
      <c r="N11" s="419"/>
    </row>
    <row r="12" spans="1:14" ht="26" x14ac:dyDescent="0.35">
      <c r="A12" s="269"/>
      <c r="B12" s="221" t="str">
        <f>'Calc Sheet 23_24'!B50</f>
        <v xml:space="preserve">1.2  Single phase overhead connection with Split Pre-payment meter taken from overhead network   - With Ready board   </v>
      </c>
      <c r="C12" s="222" t="s">
        <v>240</v>
      </c>
      <c r="D12" s="201">
        <f>'Calc Sheet 23_24'!H82</f>
        <v>9280</v>
      </c>
      <c r="E12" s="521">
        <v>1400</v>
      </c>
      <c r="F12" s="606">
        <f>+'Calc Sheet 23_24'!H82</f>
        <v>9280</v>
      </c>
      <c r="G12" s="379">
        <f>'Calc Sheet 23_24'!I82</f>
        <v>8710</v>
      </c>
      <c r="H12" s="228">
        <f>(G12-F12)/F12</f>
        <v>-6.1422413793103446E-2</v>
      </c>
      <c r="I12" s="229">
        <f>G12*I$3</f>
        <v>1306.5</v>
      </c>
      <c r="J12" s="562">
        <f>G12+I12</f>
        <v>10016.5</v>
      </c>
      <c r="K12" s="271">
        <v>9100033030416</v>
      </c>
      <c r="M12" s="416">
        <f>+$J12*(1+'Unit tariffs'!$F$2)</f>
        <v>10587.440499999999</v>
      </c>
      <c r="N12" s="417">
        <f>+$M12*(1+'Unit tariffs'!$F$2)</f>
        <v>11190.924608499998</v>
      </c>
    </row>
    <row r="13" spans="1:14" x14ac:dyDescent="0.35">
      <c r="A13" s="269"/>
      <c r="B13" s="231"/>
      <c r="C13" s="232"/>
      <c r="D13" s="201"/>
      <c r="E13" s="521"/>
      <c r="F13" s="606"/>
      <c r="G13" s="379"/>
      <c r="H13" s="228"/>
      <c r="I13" s="228"/>
      <c r="J13" s="563"/>
      <c r="K13" s="272"/>
      <c r="M13" s="418"/>
      <c r="N13" s="419"/>
    </row>
    <row r="14" spans="1:14" ht="26" x14ac:dyDescent="0.35">
      <c r="A14" s="269"/>
      <c r="B14" s="221" t="str">
        <f>+'Calc Sheet 23_24'!B86</f>
        <v xml:space="preserve">1.3  Single phase underground/ovehead connection with Split Pre-payment meter taken from underground/overhead network (Flisp Housing)  - With Ready board   </v>
      </c>
      <c r="C14" s="677" t="s">
        <v>295</v>
      </c>
      <c r="D14" s="201"/>
      <c r="E14" s="521"/>
      <c r="F14" s="606">
        <f>+'Calc Sheet 23_24'!H115</f>
        <v>9900</v>
      </c>
      <c r="G14" s="379">
        <f>+'Calc Sheet 23_24'!I115</f>
        <v>23710</v>
      </c>
      <c r="H14" s="228">
        <f>(G14-F14)/F14</f>
        <v>1.3949494949494949</v>
      </c>
      <c r="I14" s="229">
        <f>G14*I$3</f>
        <v>3556.5</v>
      </c>
      <c r="J14" s="562">
        <f>G14+I14</f>
        <v>27266.5</v>
      </c>
      <c r="K14" s="271">
        <v>9100033030416</v>
      </c>
      <c r="M14" s="416">
        <f>+$J14*(1+'Unit tariffs'!$F$2)</f>
        <v>28820.690499999997</v>
      </c>
      <c r="N14" s="417">
        <f>+$M14*(1+'Unit tariffs'!$F$2)</f>
        <v>30463.469858499993</v>
      </c>
    </row>
    <row r="15" spans="1:14" x14ac:dyDescent="0.35">
      <c r="A15" s="269"/>
      <c r="B15" s="231"/>
      <c r="C15" s="232"/>
      <c r="D15" s="201"/>
      <c r="E15" s="521"/>
      <c r="F15" s="606"/>
      <c r="G15" s="379"/>
      <c r="H15" s="228"/>
      <c r="I15" s="228"/>
      <c r="J15" s="563"/>
      <c r="K15" s="272"/>
      <c r="M15" s="418"/>
      <c r="N15" s="419"/>
    </row>
    <row r="16" spans="1:14" ht="26" x14ac:dyDescent="0.35">
      <c r="A16" s="269"/>
      <c r="B16" s="221" t="str">
        <f>'Calc Sheet 23_24'!B119</f>
        <v>1.4  New connection (Permanent) for Church/ Creche with NPO certificate &amp; Proof of Title deeds paper registered with Church/Creche:  Single phase Split Prepaid  meter</v>
      </c>
      <c r="C16" s="222" t="s">
        <v>240</v>
      </c>
      <c r="D16" s="201">
        <f>'Calc Sheet 23_24'!H148</f>
        <v>13800</v>
      </c>
      <c r="E16" s="521">
        <v>1000</v>
      </c>
      <c r="F16" s="606">
        <f>+'Calc Sheet 23_24'!H148</f>
        <v>13800</v>
      </c>
      <c r="G16" s="379">
        <f>'Calc Sheet 23_24'!I148</f>
        <v>31730</v>
      </c>
      <c r="H16" s="228">
        <f>(G16-F16)/F16</f>
        <v>1.2992753623188407</v>
      </c>
      <c r="I16" s="229">
        <f>G16*I$3</f>
        <v>4759.5</v>
      </c>
      <c r="J16" s="562">
        <f>G16+I16</f>
        <v>36489.5</v>
      </c>
      <c r="K16" s="271">
        <v>9100033030416</v>
      </c>
      <c r="M16" s="416">
        <f>+$J16*(1+'Unit tariffs'!$F$2)</f>
        <v>38569.4015</v>
      </c>
      <c r="N16" s="417">
        <f>+$M16*(1+'Unit tariffs'!$F$2)</f>
        <v>40767.8573855</v>
      </c>
    </row>
    <row r="17" spans="1:14" ht="19.5" customHeight="1" x14ac:dyDescent="0.35">
      <c r="A17" s="269"/>
      <c r="B17" s="221"/>
      <c r="C17" s="222"/>
      <c r="D17" s="201"/>
      <c r="E17" s="521"/>
      <c r="F17" s="606"/>
      <c r="G17" s="379"/>
      <c r="H17" s="228"/>
      <c r="I17" s="229"/>
      <c r="J17" s="562"/>
      <c r="K17" s="271"/>
      <c r="M17" s="416"/>
      <c r="N17" s="417"/>
    </row>
    <row r="18" spans="1:14" ht="32.4" customHeight="1" x14ac:dyDescent="0.35">
      <c r="A18" s="269"/>
      <c r="B18" s="233" t="str">
        <f>+'Calc Sheet 23_24'!B155</f>
        <v>1.5  Single phase domestic connection in meter box placed on stand boundary taken from underground cable network (connection to an erf, where the development costs has been paid) -</v>
      </c>
      <c r="C18" s="222" t="s">
        <v>240</v>
      </c>
      <c r="D18" s="201"/>
      <c r="E18" s="520"/>
      <c r="F18" s="606"/>
      <c r="G18" s="379"/>
      <c r="H18" s="228"/>
      <c r="I18" s="229"/>
      <c r="J18" s="562"/>
      <c r="K18" s="271"/>
      <c r="M18" s="416"/>
      <c r="N18" s="417"/>
    </row>
    <row r="19" spans="1:14" ht="32.4" customHeight="1" x14ac:dyDescent="0.35">
      <c r="A19" s="269"/>
      <c r="B19" s="233" t="str">
        <f>+'Calc Sheet 23_24'!B157:G157</f>
        <v xml:space="preserve">    1.5.1 Connection in meter box, Single Phase Time of Use kWh meter</v>
      </c>
      <c r="C19" s="222" t="s">
        <v>240</v>
      </c>
      <c r="D19" s="201">
        <v>1620</v>
      </c>
      <c r="E19" s="521">
        <v>2230</v>
      </c>
      <c r="F19" s="606">
        <f>+'Calc Sheet 23_24'!H184</f>
        <v>8580</v>
      </c>
      <c r="G19" s="379">
        <f>+'Calc Sheet 23_24'!I184</f>
        <v>8510</v>
      </c>
      <c r="H19" s="228">
        <f>(G19-F19)/F19</f>
        <v>-8.1585081585081581E-3</v>
      </c>
      <c r="I19" s="229">
        <f>G19*I$3</f>
        <v>1276.5</v>
      </c>
      <c r="J19" s="562">
        <f t="shared" ref="J19:J20" si="0">G19+I19</f>
        <v>9786.5</v>
      </c>
      <c r="K19" s="271">
        <v>9100033030416</v>
      </c>
      <c r="M19" s="416">
        <f>+$J19*(1+'Unit tariffs'!$F$2)</f>
        <v>10344.3305</v>
      </c>
      <c r="N19" s="417">
        <f>+$M19*(1+'Unit tariffs'!$F$2)</f>
        <v>10933.957338499999</v>
      </c>
    </row>
    <row r="20" spans="1:14" ht="32.4" customHeight="1" x14ac:dyDescent="0.35">
      <c r="A20" s="269"/>
      <c r="B20" s="233" t="str">
        <f>+'Calc Sheet 23_24'!B191:G191</f>
        <v xml:space="preserve">    1.5.2 Connection in meter box, Single phase Split pre-payment meter</v>
      </c>
      <c r="C20" s="222" t="s">
        <v>240</v>
      </c>
      <c r="D20" s="201">
        <v>3180</v>
      </c>
      <c r="E20" s="521">
        <v>4340</v>
      </c>
      <c r="F20" s="606">
        <f>+'Calc Sheet 23_24'!H215</f>
        <v>4980</v>
      </c>
      <c r="G20" s="379">
        <f>+'Calc Sheet 23_24'!I215</f>
        <v>4930</v>
      </c>
      <c r="H20" s="228">
        <f>(G20-F20)/F20</f>
        <v>-1.0040160642570281E-2</v>
      </c>
      <c r="I20" s="229">
        <f>G20*I$3</f>
        <v>739.5</v>
      </c>
      <c r="J20" s="562">
        <f t="shared" si="0"/>
        <v>5669.5</v>
      </c>
      <c r="K20" s="271">
        <v>9100033030416</v>
      </c>
      <c r="M20" s="416">
        <f>+$J20*(1+'Unit tariffs'!$F$2)</f>
        <v>5992.6614999999993</v>
      </c>
      <c r="N20" s="417">
        <f>+$M20*(1+'Unit tariffs'!$F$2)</f>
        <v>6334.243205499999</v>
      </c>
    </row>
    <row r="21" spans="1:14" x14ac:dyDescent="0.35">
      <c r="A21" s="269"/>
      <c r="B21" s="221"/>
      <c r="C21" s="222"/>
      <c r="D21" s="201"/>
      <c r="E21" s="521"/>
      <c r="F21" s="606"/>
      <c r="G21" s="379"/>
      <c r="H21" s="228"/>
      <c r="I21" s="229"/>
      <c r="J21" s="562"/>
      <c r="K21" s="271"/>
      <c r="M21" s="416"/>
      <c r="N21" s="417"/>
    </row>
    <row r="22" spans="1:14" ht="26" x14ac:dyDescent="0.35">
      <c r="A22" s="269"/>
      <c r="B22" s="234" t="str">
        <f>+'Calc Sheet 23_24'!B221</f>
        <v>1.6 Single phase Pre-payment meters for areas that are fully subsidised. (Grants from different departments, e.g USDG, etc)</v>
      </c>
      <c r="C22" s="222" t="s">
        <v>240</v>
      </c>
      <c r="D22" s="201">
        <f>+'Calc Sheet 23_24'!H245</f>
        <v>820</v>
      </c>
      <c r="E22" s="522">
        <v>370</v>
      </c>
      <c r="F22" s="606">
        <f>+'Calc Sheet 23_24'!H245</f>
        <v>820</v>
      </c>
      <c r="G22" s="379">
        <f>+'Calc Sheet 23_24'!I245</f>
        <v>930</v>
      </c>
      <c r="H22" s="228">
        <f>(G22-F22)/F22</f>
        <v>0.13414634146341464</v>
      </c>
      <c r="I22" s="229">
        <f>G22*I$3</f>
        <v>139.5</v>
      </c>
      <c r="J22" s="562">
        <f>G22+I22</f>
        <v>1069.5</v>
      </c>
      <c r="K22" s="271">
        <v>9100033030416</v>
      </c>
      <c r="M22" s="416">
        <f>+$J22*(1+'Unit tariffs'!$F$2)</f>
        <v>1130.4614999999999</v>
      </c>
      <c r="N22" s="417">
        <f>+$M22*(1+'Unit tariffs'!$F$2)</f>
        <v>1194.8978054999998</v>
      </c>
    </row>
    <row r="23" spans="1:14" ht="20.25" customHeight="1" x14ac:dyDescent="0.35">
      <c r="A23" s="269"/>
      <c r="B23" s="221" t="str">
        <f>+'Calc Sheet 23_24'!B252</f>
        <v xml:space="preserve">1.7  Subdivision  (Domestic) -  Urban area: </v>
      </c>
      <c r="C23" s="222"/>
      <c r="D23" s="201"/>
      <c r="E23" s="521"/>
      <c r="F23" s="606"/>
      <c r="G23" s="379"/>
      <c r="H23" s="228"/>
      <c r="I23" s="229"/>
      <c r="J23" s="562"/>
      <c r="K23" s="271"/>
      <c r="M23" s="416"/>
      <c r="N23" s="417"/>
    </row>
    <row r="24" spans="1:14" ht="30.75" customHeight="1" x14ac:dyDescent="0.35">
      <c r="A24" s="269"/>
      <c r="B24" s="221" t="str">
        <f>+'Calc Sheet 23_24'!B254</f>
        <v xml:space="preserve">    1.7.1 Subdivision Urban Area:  A new Single Phase Split pre-payment meter for domestic connection </v>
      </c>
      <c r="C24" s="222" t="s">
        <v>240</v>
      </c>
      <c r="D24" s="201">
        <f>+'Calc Sheet 23_24'!H283</f>
        <v>19450</v>
      </c>
      <c r="E24" s="521">
        <v>15780</v>
      </c>
      <c r="F24" s="606">
        <f>+'Calc Sheet 23_24'!H283</f>
        <v>19450</v>
      </c>
      <c r="G24" s="379">
        <f>+'Calc Sheet 23_24'!I283</f>
        <v>21290</v>
      </c>
      <c r="H24" s="228">
        <f>(G24-F24)/F24</f>
        <v>9.4601542416452439E-2</v>
      </c>
      <c r="I24" s="229">
        <f>G24*I$3</f>
        <v>3193.5</v>
      </c>
      <c r="J24" s="562">
        <f>G24+I24</f>
        <v>24483.5</v>
      </c>
      <c r="K24" s="273">
        <v>9100033030416</v>
      </c>
      <c r="M24" s="416">
        <f>+$J24*(1+'Unit tariffs'!$F$2)</f>
        <v>25879.059499999999</v>
      </c>
      <c r="N24" s="417">
        <f>+$M24*(1+'Unit tariffs'!$F$2)</f>
        <v>27354.165891499997</v>
      </c>
    </row>
    <row r="25" spans="1:14" ht="38.5" x14ac:dyDescent="0.35">
      <c r="A25" s="269"/>
      <c r="B25" s="221" t="str">
        <f>+'Calc Sheet 23_24'!B291</f>
        <v>1.8 Additional Meters:  New 1ph  Split pre-paid meter connection- limited up to 500kVA, LV per Erf. Cost estimates will be compiled based on the quantiry of meters required and Network contribution will be levied as per ruling R/kVA.</v>
      </c>
      <c r="C25" s="222" t="s">
        <v>240</v>
      </c>
      <c r="D25" s="235">
        <f>+'Calc Sheet 23_24'!H291</f>
        <v>0</v>
      </c>
      <c r="E25" s="523"/>
      <c r="F25" s="607" t="s">
        <v>261</v>
      </c>
      <c r="G25" s="380">
        <f>+'Calc Sheet 23_24'!I291</f>
        <v>0</v>
      </c>
      <c r="H25" s="219"/>
      <c r="I25" s="216"/>
      <c r="J25" s="561"/>
      <c r="K25" s="270"/>
      <c r="M25" s="414"/>
      <c r="N25" s="415"/>
    </row>
    <row r="26" spans="1:14" x14ac:dyDescent="0.35">
      <c r="A26" s="338"/>
      <c r="B26" s="339"/>
      <c r="C26" s="340"/>
      <c r="D26" s="678"/>
      <c r="E26" s="679"/>
      <c r="F26" s="680"/>
      <c r="G26" s="681"/>
      <c r="H26" s="682"/>
      <c r="I26" s="683"/>
      <c r="J26" s="684"/>
      <c r="K26" s="685"/>
      <c r="M26" s="686"/>
      <c r="N26" s="687"/>
    </row>
    <row r="27" spans="1:14" ht="15" thickBot="1" x14ac:dyDescent="0.4">
      <c r="A27" s="364"/>
      <c r="B27" s="365"/>
      <c r="C27" s="366"/>
      <c r="D27" s="281"/>
      <c r="E27" s="524"/>
      <c r="F27" s="608"/>
      <c r="G27" s="284"/>
      <c r="H27" s="282"/>
      <c r="I27" s="283"/>
      <c r="J27" s="564"/>
      <c r="K27" s="367"/>
      <c r="L27" s="395"/>
      <c r="M27" s="420"/>
      <c r="N27" s="421"/>
    </row>
    <row r="28" spans="1:14" x14ac:dyDescent="0.35">
      <c r="A28" s="286"/>
      <c r="B28" s="287" t="str">
        <f>'Calc Sheet 23_24'!B353</f>
        <v>2. NEW THREE PHASE DOMESTIC CONNECTIONS: URBAN</v>
      </c>
      <c r="C28" s="329"/>
      <c r="D28" s="330"/>
      <c r="E28" s="518"/>
      <c r="F28" s="604"/>
      <c r="G28" s="305"/>
      <c r="H28" s="290"/>
      <c r="I28" s="291"/>
      <c r="J28" s="560"/>
      <c r="K28" s="291"/>
      <c r="L28" s="291"/>
      <c r="M28" s="412"/>
      <c r="N28" s="412"/>
    </row>
    <row r="29" spans="1:14" x14ac:dyDescent="0.35">
      <c r="A29" s="286"/>
      <c r="B29" s="227"/>
      <c r="C29" s="222"/>
      <c r="D29" s="217"/>
      <c r="E29" s="520"/>
      <c r="F29" s="605"/>
      <c r="G29" s="218"/>
      <c r="H29" s="219"/>
      <c r="I29" s="216"/>
      <c r="J29" s="561"/>
      <c r="K29" s="216"/>
      <c r="L29" s="216"/>
      <c r="M29" s="414"/>
      <c r="N29" s="414"/>
    </row>
    <row r="30" spans="1:14" ht="26.5" x14ac:dyDescent="0.35">
      <c r="A30" s="286"/>
      <c r="B30" s="225" t="str">
        <f>+'Calc Sheet 23_24'!B355</f>
        <v>Three phase connection in meter box placed on stand boundary taken from underground cable network.</v>
      </c>
      <c r="C30" s="288"/>
      <c r="D30" s="289"/>
      <c r="E30" s="525"/>
      <c r="F30" s="609"/>
      <c r="G30" s="382"/>
      <c r="H30" s="290"/>
      <c r="I30" s="291"/>
      <c r="J30" s="560"/>
      <c r="K30" s="310"/>
      <c r="M30" s="412"/>
      <c r="N30" s="413"/>
    </row>
    <row r="31" spans="1:14" ht="12" customHeight="1" x14ac:dyDescent="0.35">
      <c r="A31" s="269"/>
      <c r="B31" s="221"/>
      <c r="C31" s="222"/>
      <c r="D31" s="236"/>
      <c r="E31" s="526"/>
      <c r="F31" s="610"/>
      <c r="G31" s="383"/>
      <c r="H31" s="237"/>
      <c r="I31" s="238"/>
      <c r="J31" s="565"/>
      <c r="K31" s="274"/>
      <c r="M31" s="414"/>
      <c r="N31" s="415"/>
    </row>
    <row r="32" spans="1:14" hidden="1" x14ac:dyDescent="0.35">
      <c r="A32" s="269"/>
      <c r="B32" s="221" t="str">
        <f>+'Calc Sheet 23_24'!B357</f>
        <v xml:space="preserve">2.1 Three phase domestic connection (80A) in meter box,  Time of use (TOU) meter    </v>
      </c>
      <c r="C32" s="222" t="s">
        <v>340</v>
      </c>
      <c r="D32" s="201">
        <f>+'Calc Sheet 23_24'!H390</f>
        <v>24470</v>
      </c>
      <c r="E32" s="521">
        <v>18370</v>
      </c>
      <c r="F32" s="606">
        <v>18710</v>
      </c>
      <c r="G32" s="379">
        <f>+'Calc Sheet 23_24'!I390</f>
        <v>15770</v>
      </c>
      <c r="H32" s="228">
        <f>(G32-F32)/F32</f>
        <v>-0.15713522180652056</v>
      </c>
      <c r="I32" s="229">
        <f>G32*I$3</f>
        <v>2365.5</v>
      </c>
      <c r="J32" s="562">
        <f>G32+I32</f>
        <v>18135.5</v>
      </c>
      <c r="K32" s="271">
        <v>9100033030416</v>
      </c>
      <c r="M32" s="416">
        <f>+$J32*(1+'Unit tariffs'!$F$2)</f>
        <v>19169.2235</v>
      </c>
      <c r="N32" s="417">
        <f>+$M32*(1+'Unit tariffs'!$F$2)</f>
        <v>20261.8692395</v>
      </c>
    </row>
    <row r="33" spans="1:14" hidden="1" x14ac:dyDescent="0.35">
      <c r="A33" s="269"/>
      <c r="B33" s="221"/>
      <c r="C33" s="222"/>
      <c r="D33" s="201"/>
      <c r="E33" s="521"/>
      <c r="F33" s="606"/>
      <c r="G33" s="379"/>
      <c r="H33" s="219"/>
      <c r="I33" s="216"/>
      <c r="J33" s="561"/>
      <c r="K33" s="270"/>
      <c r="M33" s="414"/>
      <c r="N33" s="415"/>
    </row>
    <row r="34" spans="1:14" x14ac:dyDescent="0.35">
      <c r="A34" s="269"/>
      <c r="B34" s="221" t="str">
        <f>+'Calc Sheet 23_24'!B398</f>
        <v xml:space="preserve">2.2 Three phase connection (80A) in meter box,  Time of use (TOU) meter                                               </v>
      </c>
      <c r="C34" s="226" t="s">
        <v>341</v>
      </c>
      <c r="D34" s="201">
        <f>+'Calc Sheet 23_24'!H428</f>
        <v>19670</v>
      </c>
      <c r="E34" s="521">
        <v>15725</v>
      </c>
      <c r="F34" s="606">
        <f>+'Calc Sheet 23_24'!H428</f>
        <v>19670</v>
      </c>
      <c r="G34" s="379">
        <f>+'Calc Sheet 23_24'!I428</f>
        <v>11900</v>
      </c>
      <c r="H34" s="228">
        <f>(G34-F34)/F34</f>
        <v>-0.39501779359430605</v>
      </c>
      <c r="I34" s="229">
        <f>G34*I$3</f>
        <v>1785</v>
      </c>
      <c r="J34" s="562">
        <f>G34+I34</f>
        <v>13685</v>
      </c>
      <c r="K34" s="271">
        <v>9100033030416</v>
      </c>
      <c r="M34" s="416">
        <f>+$J34*(1+'Unit tariffs'!$F$2)</f>
        <v>14465.045</v>
      </c>
      <c r="N34" s="417">
        <f>+$M34*(1+'Unit tariffs'!$F$2)</f>
        <v>15289.552565</v>
      </c>
    </row>
    <row r="35" spans="1:14" x14ac:dyDescent="0.35">
      <c r="A35" s="269"/>
      <c r="B35" s="221"/>
      <c r="C35" s="222" t="s">
        <v>240</v>
      </c>
      <c r="D35" s="236"/>
      <c r="E35" s="526"/>
      <c r="F35" s="606"/>
      <c r="G35" s="383"/>
      <c r="H35" s="237"/>
      <c r="I35" s="238"/>
      <c r="J35" s="565"/>
      <c r="K35" s="274"/>
      <c r="M35" s="414"/>
      <c r="N35" s="415"/>
    </row>
    <row r="36" spans="1:14" hidden="1" x14ac:dyDescent="0.35">
      <c r="A36" s="269"/>
      <c r="B36" s="221" t="str">
        <f>'Calc Sheet 23_24'!B434</f>
        <v xml:space="preserve">2.3 Three phase domestic connection in meter box, Split pre-payment meter </v>
      </c>
      <c r="C36" s="222" t="s">
        <v>340</v>
      </c>
      <c r="D36" s="201">
        <f>'Calc Sheet 23_24'!H466</f>
        <v>21730</v>
      </c>
      <c r="E36" s="521">
        <v>16375</v>
      </c>
      <c r="F36" s="606">
        <v>16040</v>
      </c>
      <c r="G36" s="379">
        <f>'Calc Sheet 23_24'!I466</f>
        <v>16250</v>
      </c>
      <c r="H36" s="228">
        <f>(G36-F36)/F36</f>
        <v>1.3092269326683292E-2</v>
      </c>
      <c r="I36" s="229">
        <f>G36*I$3</f>
        <v>2437.5</v>
      </c>
      <c r="J36" s="562">
        <f>G36+I36</f>
        <v>18687.5</v>
      </c>
      <c r="K36" s="271">
        <v>9100033030416</v>
      </c>
      <c r="M36" s="416">
        <f>+$J36*(1+'Unit tariffs'!$F$2)</f>
        <v>19752.6875</v>
      </c>
      <c r="N36" s="417">
        <f>+$M36*(1+'Unit tariffs'!$F$2)</f>
        <v>20878.5906875</v>
      </c>
    </row>
    <row r="37" spans="1:14" hidden="1" x14ac:dyDescent="0.35">
      <c r="A37" s="269"/>
      <c r="B37" s="239"/>
      <c r="C37" s="222"/>
      <c r="D37" s="201"/>
      <c r="E37" s="521"/>
      <c r="F37" s="610"/>
      <c r="G37" s="379"/>
      <c r="H37" s="228"/>
      <c r="I37" s="229"/>
      <c r="J37" s="562"/>
      <c r="K37" s="275"/>
      <c r="M37" s="416"/>
      <c r="N37" s="417"/>
    </row>
    <row r="38" spans="1:14" x14ac:dyDescent="0.35">
      <c r="A38" s="269"/>
      <c r="B38" s="221" t="str">
        <f>'Calc Sheet 23_24'!B473</f>
        <v>2.4 Three phase domestic connection in meter box, Split pre-payment meter.</v>
      </c>
      <c r="C38" s="226" t="s">
        <v>341</v>
      </c>
      <c r="D38" s="201">
        <f>'Calc Sheet 23_24'!H503</f>
        <v>15130</v>
      </c>
      <c r="E38" s="521">
        <v>13720</v>
      </c>
      <c r="F38" s="606">
        <f>+'Calc Sheet 23_24'!H503</f>
        <v>15130</v>
      </c>
      <c r="G38" s="379">
        <f>'Calc Sheet 23_24'!I503</f>
        <v>8800</v>
      </c>
      <c r="H38" s="228">
        <f>(G38-F38)/F38</f>
        <v>-0.41837409120951752</v>
      </c>
      <c r="I38" s="229">
        <f>G38*I$3</f>
        <v>1320</v>
      </c>
      <c r="J38" s="562">
        <f>G38+I38</f>
        <v>10120</v>
      </c>
      <c r="K38" s="271">
        <v>9100033030416</v>
      </c>
      <c r="M38" s="416">
        <f>+$J38*(1+'Unit tariffs'!$F$2)</f>
        <v>10696.84</v>
      </c>
      <c r="N38" s="417">
        <f>+$M38*(1+'Unit tariffs'!$F$2)</f>
        <v>11306.559879999999</v>
      </c>
    </row>
    <row r="39" spans="1:14" ht="15" thickBot="1" x14ac:dyDescent="0.4">
      <c r="A39" s="293"/>
      <c r="B39" s="301"/>
      <c r="C39" s="302" t="s">
        <v>240</v>
      </c>
      <c r="D39" s="296"/>
      <c r="E39" s="527"/>
      <c r="F39" s="611"/>
      <c r="G39" s="299"/>
      <c r="H39" s="297"/>
      <c r="I39" s="298"/>
      <c r="J39" s="566"/>
      <c r="K39" s="270"/>
      <c r="M39" s="422"/>
      <c r="N39" s="423"/>
    </row>
    <row r="40" spans="1:14" ht="15.5" thickTop="1" thickBot="1" x14ac:dyDescent="0.4">
      <c r="A40" s="396"/>
      <c r="B40" s="397"/>
      <c r="C40" s="398"/>
      <c r="D40" s="399"/>
      <c r="E40" s="528"/>
      <c r="F40" s="612"/>
      <c r="G40" s="400"/>
      <c r="H40" s="401"/>
      <c r="I40" s="402"/>
      <c r="J40" s="567"/>
      <c r="K40" s="270"/>
      <c r="M40" s="424"/>
      <c r="N40" s="425"/>
    </row>
    <row r="41" spans="1:14" ht="15.5" x14ac:dyDescent="0.35">
      <c r="A41" s="396"/>
      <c r="B41" s="262" t="str">
        <f>+B1</f>
        <v>CENTLEC : ELECTRICITY SERVICES COSTS FOR MANTSOPA MUNIC</v>
      </c>
      <c r="C41" s="263"/>
      <c r="D41" s="368" t="s">
        <v>317</v>
      </c>
      <c r="E41" s="529"/>
      <c r="F41" s="613" t="s">
        <v>74</v>
      </c>
      <c r="G41" s="370" t="s">
        <v>74</v>
      </c>
      <c r="H41" s="369" t="s">
        <v>85</v>
      </c>
      <c r="I41" s="52" t="s">
        <v>441</v>
      </c>
      <c r="J41" s="370" t="s">
        <v>138</v>
      </c>
      <c r="K41" s="371" t="s">
        <v>75</v>
      </c>
      <c r="M41" s="669" t="s">
        <v>138</v>
      </c>
      <c r="N41" s="670" t="s">
        <v>138</v>
      </c>
    </row>
    <row r="42" spans="1:14" ht="15.5" x14ac:dyDescent="0.35">
      <c r="A42" s="396"/>
      <c r="B42" s="404"/>
      <c r="C42" s="304"/>
      <c r="D42" s="323" t="s">
        <v>318</v>
      </c>
      <c r="E42" s="530"/>
      <c r="F42" s="614" t="s">
        <v>318</v>
      </c>
      <c r="G42" s="308" t="s">
        <v>318</v>
      </c>
      <c r="H42" s="324" t="s">
        <v>86</v>
      </c>
      <c r="I42" s="643">
        <f>+'Unit tariffs'!F$3</f>
        <v>0.15</v>
      </c>
      <c r="J42" s="308" t="s">
        <v>139</v>
      </c>
      <c r="K42" s="325" t="s">
        <v>78</v>
      </c>
      <c r="M42" s="671" t="s">
        <v>139</v>
      </c>
      <c r="N42" s="672" t="s">
        <v>139</v>
      </c>
    </row>
    <row r="43" spans="1:14" ht="15.5" x14ac:dyDescent="0.35">
      <c r="A43" s="396"/>
      <c r="B43" s="404"/>
      <c r="C43" s="226" t="s">
        <v>328</v>
      </c>
      <c r="D43" s="326" t="s">
        <v>279</v>
      </c>
      <c r="E43" s="531"/>
      <c r="F43" s="665" t="str">
        <f>'Calc Sheet 23_24'!$H$11</f>
        <v>2025/2026</v>
      </c>
      <c r="G43" s="224" t="str">
        <f>'Calc Sheet 23_24'!$I$11</f>
        <v>2026/2027</v>
      </c>
      <c r="H43" s="327" t="str">
        <f>G43</f>
        <v>2026/2027</v>
      </c>
      <c r="I43" s="52" t="str">
        <f>G43</f>
        <v>2026/2027</v>
      </c>
      <c r="J43" s="224" t="str">
        <f>I43</f>
        <v>2026/2027</v>
      </c>
      <c r="K43" s="325" t="s">
        <v>79</v>
      </c>
      <c r="M43" s="666" t="s">
        <v>431</v>
      </c>
      <c r="N43" s="667" t="s">
        <v>451</v>
      </c>
    </row>
    <row r="44" spans="1:14" ht="15" thickBot="1" x14ac:dyDescent="0.4">
      <c r="A44" s="403"/>
      <c r="B44" s="405" t="str">
        <f>'Calc Sheet 23_24'!B577</f>
        <v>3. NEW SINGLE PHASE DOMESTIC CONNECTIONS: PERI-URBAN</v>
      </c>
      <c r="C44" s="295" t="s">
        <v>329</v>
      </c>
      <c r="D44" s="306" t="s">
        <v>80</v>
      </c>
      <c r="E44" s="532"/>
      <c r="F44" s="615" t="s">
        <v>80</v>
      </c>
      <c r="G44" s="381" t="s">
        <v>80</v>
      </c>
      <c r="H44" s="297"/>
      <c r="I44" s="298"/>
      <c r="J44" s="566"/>
      <c r="K44" s="311"/>
      <c r="M44" s="422"/>
      <c r="N44" s="423"/>
    </row>
    <row r="45" spans="1:14" ht="15" thickTop="1" x14ac:dyDescent="0.35">
      <c r="A45" s="300"/>
      <c r="C45" s="288"/>
      <c r="D45" s="289"/>
      <c r="E45" s="525"/>
      <c r="F45" s="609"/>
      <c r="G45" s="382"/>
      <c r="H45" s="290"/>
      <c r="I45" s="291"/>
      <c r="J45" s="560"/>
      <c r="K45" s="310"/>
      <c r="M45" s="412"/>
      <c r="N45" s="413"/>
    </row>
    <row r="46" spans="1:14" ht="46.25" customHeight="1" x14ac:dyDescent="0.35">
      <c r="A46" s="269"/>
      <c r="B46" s="221" t="str">
        <f>+'Calc Sheet 23_24'!B579</f>
        <v>3.1 Single phase Peri-Urban domestic connection with TOU kWh meter.  Supplied by 25kVA single phase transformer (80A) from 11kV overhead line   (where an 11kV line exists and is within the first 350m)</v>
      </c>
      <c r="C46" s="222" t="s">
        <v>241</v>
      </c>
      <c r="D46" s="557">
        <f>+'Calc Sheet 23_24'!H608</f>
        <v>35990</v>
      </c>
      <c r="E46" s="533">
        <v>15930</v>
      </c>
      <c r="F46" s="616">
        <f>+'Calc Sheet 23_24'!H608</f>
        <v>35990</v>
      </c>
      <c r="G46" s="384">
        <f>+'Calc Sheet 23_24'!I608</f>
        <v>29340</v>
      </c>
      <c r="H46" s="228">
        <f>(G46-F46)/F46</f>
        <v>-0.18477354820783551</v>
      </c>
      <c r="I46" s="229">
        <f>G46*I$3</f>
        <v>4401</v>
      </c>
      <c r="J46" s="562">
        <f>G46+I46</f>
        <v>33741</v>
      </c>
      <c r="K46" s="271">
        <v>9100033030416</v>
      </c>
      <c r="M46" s="416">
        <f>+$J46*(1+'Unit tariffs'!$F$2)</f>
        <v>35664.237000000001</v>
      </c>
      <c r="N46" s="417">
        <f>+$M46*(1+'Unit tariffs'!$F$2)</f>
        <v>37697.098508999996</v>
      </c>
    </row>
    <row r="47" spans="1:14" ht="34.25" customHeight="1" x14ac:dyDescent="0.35">
      <c r="A47" s="269"/>
      <c r="B47" s="221" t="str">
        <f>+'Calc Sheet 23_24'!B613</f>
        <v>3.2 Single phase Peri-Urban domestic connection - Prepayment meter. - Supplied by 25kVA single phase Trfr (80A) from 11kV overhead line   (where an 11kV line exists and is within the first 350m)</v>
      </c>
      <c r="C47" s="222" t="s">
        <v>241</v>
      </c>
      <c r="D47" s="201">
        <f>+'Calc Sheet 23_24'!H650</f>
        <v>40460</v>
      </c>
      <c r="E47" s="521">
        <v>12240</v>
      </c>
      <c r="F47" s="606">
        <f>+'Calc Sheet 23_24'!H650</f>
        <v>40460</v>
      </c>
      <c r="G47" s="379">
        <f>+'Calc Sheet 23_24'!I650</f>
        <v>24370</v>
      </c>
      <c r="H47" s="228">
        <f>(G47-F47)/F47</f>
        <v>-0.39767671774592189</v>
      </c>
      <c r="I47" s="229">
        <f>G47*I$3</f>
        <v>3655.5</v>
      </c>
      <c r="J47" s="562">
        <f>G47+I47</f>
        <v>28025.5</v>
      </c>
      <c r="K47" s="271">
        <v>9100033030416</v>
      </c>
      <c r="M47" s="416">
        <f>+$J47*(1+'Unit tariffs'!$F$2)</f>
        <v>29622.9535</v>
      </c>
      <c r="N47" s="417">
        <f>+$M47*(1+'Unit tariffs'!$F$2)</f>
        <v>31311.4618495</v>
      </c>
    </row>
    <row r="48" spans="1:14" ht="44.4" customHeight="1" x14ac:dyDescent="0.35">
      <c r="A48" s="269"/>
      <c r="B48" s="221">
        <f>+'Summary Mangaung 2026_27'!B99</f>
        <v>0</v>
      </c>
      <c r="C48" s="688" t="s">
        <v>241</v>
      </c>
      <c r="D48" s="201"/>
      <c r="E48" s="521"/>
      <c r="F48" s="607">
        <f>'Summary Mangaung 2026_27'!E99</f>
        <v>0</v>
      </c>
      <c r="G48" s="380">
        <f>+'Summary Mangaung 2026_27'!F99</f>
        <v>0</v>
      </c>
      <c r="H48" s="228"/>
      <c r="I48" s="229"/>
      <c r="J48" s="562"/>
      <c r="K48" s="271"/>
      <c r="M48" s="416"/>
      <c r="N48" s="417"/>
    </row>
    <row r="49" spans="1:14" ht="13.25" customHeight="1" x14ac:dyDescent="0.35">
      <c r="A49" s="269"/>
      <c r="B49" s="221"/>
      <c r="C49" s="688"/>
      <c r="D49" s="201"/>
      <c r="E49" s="521"/>
      <c r="F49" s="607"/>
      <c r="G49" s="380"/>
      <c r="H49" s="228"/>
      <c r="I49" s="229"/>
      <c r="J49" s="562"/>
      <c r="K49" s="271"/>
      <c r="M49" s="416"/>
      <c r="N49" s="417"/>
    </row>
    <row r="50" spans="1:14" ht="18.75" customHeight="1" x14ac:dyDescent="0.35">
      <c r="A50" s="269"/>
      <c r="B50" s="227" t="str">
        <f>'Calc Sheet 23_24'!B686</f>
        <v>4. NEW THREE PHASE DOMESTIC CONNECTIONS: PERI-URBAN</v>
      </c>
      <c r="C50" s="222"/>
      <c r="D50" s="201"/>
      <c r="E50" s="520"/>
      <c r="F50" s="605"/>
      <c r="G50" s="220"/>
      <c r="H50" s="219"/>
      <c r="I50" s="216"/>
      <c r="J50" s="561"/>
      <c r="K50" s="270"/>
      <c r="M50" s="414"/>
      <c r="N50" s="415"/>
    </row>
    <row r="51" spans="1:14" ht="28.5" customHeight="1" x14ac:dyDescent="0.35">
      <c r="A51" s="286"/>
      <c r="B51" s="336" t="str">
        <f>+'Calc Sheet 23_24'!B688</f>
        <v xml:space="preserve">Three phase domestic connection in meterbox, where an 11kV line exists or has to be extended up to 350m.                                           </v>
      </c>
      <c r="C51" s="226"/>
      <c r="D51" s="201"/>
      <c r="E51" s="521"/>
      <c r="F51" s="606"/>
      <c r="G51" s="379"/>
      <c r="H51" s="219"/>
      <c r="I51" s="216"/>
      <c r="J51" s="561"/>
      <c r="K51" s="270"/>
      <c r="M51" s="414"/>
      <c r="N51" s="415"/>
    </row>
    <row r="52" spans="1:14" ht="13.25" customHeight="1" x14ac:dyDescent="0.35">
      <c r="A52" s="269"/>
      <c r="B52" s="221"/>
      <c r="C52" s="222"/>
      <c r="D52" s="201"/>
      <c r="E52" s="521"/>
      <c r="F52" s="606"/>
      <c r="G52" s="379"/>
      <c r="H52" s="219"/>
      <c r="I52" s="216"/>
      <c r="J52" s="561"/>
      <c r="K52" s="270"/>
      <c r="M52" s="414"/>
      <c r="N52" s="415"/>
    </row>
    <row r="53" spans="1:14" ht="24.75" hidden="1" customHeight="1" x14ac:dyDescent="0.35">
      <c r="A53" s="269"/>
      <c r="B53" s="221" t="str">
        <f>+'Calc Sheet 23_24'!B691</f>
        <v xml:space="preserve">4.1 New Three phase 80A/ph 25kVA domestic connection  in meter box with Time of use (TOU) meter in Mangaung - Peri urban                                              </v>
      </c>
      <c r="C53" s="222" t="str">
        <f>+C47</f>
        <v>Peri Urban Area</v>
      </c>
      <c r="D53" s="201">
        <f>+'Calc Sheet 23_24'!H730</f>
        <v>49620</v>
      </c>
      <c r="E53" s="521">
        <v>27150</v>
      </c>
      <c r="F53" s="606">
        <v>27500</v>
      </c>
      <c r="G53" s="379">
        <f>+'Calc Sheet 23_24'!I730</f>
        <v>44270</v>
      </c>
      <c r="H53" s="228">
        <f>(G53-F53)/F53</f>
        <v>0.60981818181818181</v>
      </c>
      <c r="I53" s="229">
        <f>G53*I$3</f>
        <v>6640.5</v>
      </c>
      <c r="J53" s="562">
        <f>G53+I53</f>
        <v>50910.5</v>
      </c>
      <c r="K53" s="271">
        <v>9100033030416</v>
      </c>
      <c r="M53" s="416">
        <f>+$J53*(1+'Unit tariffs'!$F$2)</f>
        <v>53812.398499999996</v>
      </c>
      <c r="N53" s="417">
        <f>+$M53*(1+'Unit tariffs'!$F$2)</f>
        <v>56879.705214499991</v>
      </c>
    </row>
    <row r="54" spans="1:14" hidden="1" x14ac:dyDescent="0.35">
      <c r="A54" s="269"/>
      <c r="B54" s="241"/>
      <c r="C54" s="222"/>
      <c r="D54" s="201"/>
      <c r="E54" s="521"/>
      <c r="F54" s="606"/>
      <c r="G54" s="379"/>
      <c r="H54" s="219"/>
      <c r="I54" s="216"/>
      <c r="J54" s="561"/>
      <c r="K54" s="270"/>
      <c r="M54" s="414"/>
      <c r="N54" s="415"/>
    </row>
    <row r="55" spans="1:14" ht="25.5" customHeight="1" x14ac:dyDescent="0.35">
      <c r="A55" s="269"/>
      <c r="B55" s="221" t="str">
        <f>+'Calc Sheet 23_24'!B735</f>
        <v xml:space="preserve">4.2 New Three phase 80A/ph domestic connection in meter box with Time of use (TOU) meter in Regional.                                                                                      </v>
      </c>
      <c r="C55" s="222" t="s">
        <v>243</v>
      </c>
      <c r="D55" s="556">
        <f>+'Calc Sheet 23_24'!H771</f>
        <v>37790</v>
      </c>
      <c r="E55" s="521">
        <v>26870</v>
      </c>
      <c r="F55" s="606">
        <f>+'Calc Sheet 23_24'!H771</f>
        <v>37790</v>
      </c>
      <c r="G55" s="379">
        <f>+'Calc Sheet 23_24'!I771</f>
        <v>30840</v>
      </c>
      <c r="H55" s="228">
        <f>(G55-F55)/F55</f>
        <v>-0.18391108758930935</v>
      </c>
      <c r="I55" s="229">
        <f>G55*I$3</f>
        <v>4626</v>
      </c>
      <c r="J55" s="562">
        <f>G55+I55</f>
        <v>35466</v>
      </c>
      <c r="K55" s="271">
        <v>9100033030416</v>
      </c>
      <c r="M55" s="416">
        <f>+$J55*(1+'Unit tariffs'!$F$2)</f>
        <v>37487.561999999998</v>
      </c>
      <c r="N55" s="417">
        <f>+$M55*(1+'Unit tariffs'!$F$2)</f>
        <v>39624.353033999992</v>
      </c>
    </row>
    <row r="56" spans="1:14" x14ac:dyDescent="0.35">
      <c r="A56" s="269"/>
      <c r="B56" s="241"/>
      <c r="C56" s="222"/>
      <c r="D56" s="201"/>
      <c r="E56" s="521"/>
      <c r="F56" s="606"/>
      <c r="G56" s="379"/>
      <c r="H56" s="219"/>
      <c r="I56" s="216"/>
      <c r="J56" s="561"/>
      <c r="K56" s="270"/>
      <c r="M56" s="414"/>
      <c r="N56" s="415"/>
    </row>
    <row r="57" spans="1:14" ht="23.25" hidden="1" customHeight="1" x14ac:dyDescent="0.35">
      <c r="A57" s="269"/>
      <c r="B57" s="221" t="str">
        <f>'Calc Sheet 23_24'!B778</f>
        <v xml:space="preserve">4.3  New Three phase Peri-Urban domestic connection - Pre-payment meter (80A per phase)                                                    </v>
      </c>
      <c r="C57" s="222" t="str">
        <f>+C55</f>
        <v>[Regional - peri urban area]</v>
      </c>
      <c r="D57" s="201">
        <f>+'Calc Sheet 23_24'!H820</f>
        <v>38500</v>
      </c>
      <c r="E57" s="521">
        <v>27370</v>
      </c>
      <c r="F57" s="606">
        <v>27980</v>
      </c>
      <c r="G57" s="379">
        <f>+'Calc Sheet 23_24'!I820</f>
        <v>33650</v>
      </c>
      <c r="H57" s="228">
        <f>(G57-F57)/F57</f>
        <v>0.20264474624731951</v>
      </c>
      <c r="I57" s="229">
        <f>G57*I$3</f>
        <v>5047.5</v>
      </c>
      <c r="J57" s="562">
        <f>G57+I57</f>
        <v>38697.5</v>
      </c>
      <c r="K57" s="271">
        <v>9100033030416</v>
      </c>
      <c r="M57" s="416">
        <f>+$J57*(1+'Unit tariffs'!$F$2)</f>
        <v>40903.2575</v>
      </c>
      <c r="N57" s="417">
        <f>+$M57*(1+'Unit tariffs'!$F$2)</f>
        <v>43234.7431775</v>
      </c>
    </row>
    <row r="58" spans="1:14" hidden="1" x14ac:dyDescent="0.35">
      <c r="A58" s="269"/>
      <c r="B58" s="239"/>
      <c r="C58" s="222"/>
      <c r="D58" s="201"/>
      <c r="E58" s="521"/>
      <c r="F58" s="606"/>
      <c r="G58" s="379"/>
      <c r="H58" s="228"/>
      <c r="I58" s="229"/>
      <c r="J58" s="562"/>
      <c r="K58" s="275"/>
      <c r="M58" s="416"/>
      <c r="N58" s="417"/>
    </row>
    <row r="59" spans="1:14" ht="38" customHeight="1" x14ac:dyDescent="0.35">
      <c r="A59" s="269"/>
      <c r="B59" s="221" t="str">
        <f>'Calc Sheet 23_24'!B825</f>
        <v xml:space="preserve">4.4 Three phase Peri-Urban domestic connection - Pre- payment meter (80A per phase)                                                    </v>
      </c>
      <c r="C59" s="222" t="str">
        <f>+'Calc Sheet 23_24'!I825</f>
        <v>[Regional - peri urban area]</v>
      </c>
      <c r="D59" s="201">
        <f>+'Calc Sheet 23_24'!H863</f>
        <v>37130</v>
      </c>
      <c r="E59" s="521">
        <v>24710</v>
      </c>
      <c r="F59" s="606">
        <f>+'Calc Sheet 23_24'!H863</f>
        <v>37130</v>
      </c>
      <c r="G59" s="379">
        <f>+'Calc Sheet 23_24'!I863</f>
        <v>32080</v>
      </c>
      <c r="H59" s="228">
        <f>(G59-F59)/F59</f>
        <v>-0.13600861836789657</v>
      </c>
      <c r="I59" s="229">
        <f>G59*I$3</f>
        <v>4812</v>
      </c>
      <c r="J59" s="562">
        <f>G59+I59</f>
        <v>36892</v>
      </c>
      <c r="K59" s="271">
        <v>9100033030416</v>
      </c>
      <c r="M59" s="416">
        <f>+$J59*(1+'Unit tariffs'!$F$2)</f>
        <v>38994.843999999997</v>
      </c>
      <c r="N59" s="417">
        <f>+$M59*(1+'Unit tariffs'!$F$2)</f>
        <v>41217.550107999996</v>
      </c>
    </row>
    <row r="60" spans="1:14" x14ac:dyDescent="0.35">
      <c r="A60" s="269"/>
      <c r="B60" s="239"/>
      <c r="C60" s="222"/>
      <c r="D60" s="201"/>
      <c r="E60" s="521"/>
      <c r="F60" s="606"/>
      <c r="G60" s="379"/>
      <c r="H60" s="228"/>
      <c r="I60" s="229"/>
      <c r="J60" s="562"/>
      <c r="K60" s="271"/>
      <c r="M60" s="416"/>
      <c r="N60" s="417"/>
    </row>
    <row r="61" spans="1:14" x14ac:dyDescent="0.35">
      <c r="A61" s="269"/>
      <c r="B61" s="227" t="str">
        <f>+'Calc Sheet 23_24'!B873</f>
        <v xml:space="preserve">4.5  Subdivision -  Peri-Urban area: </v>
      </c>
      <c r="C61" s="226"/>
      <c r="D61" s="201"/>
      <c r="E61" s="521"/>
      <c r="F61" s="606"/>
      <c r="G61" s="379"/>
      <c r="H61" s="228"/>
      <c r="I61" s="229"/>
      <c r="J61" s="562"/>
      <c r="K61" s="271"/>
      <c r="M61" s="416"/>
      <c r="N61" s="417"/>
    </row>
    <row r="62" spans="1:14" ht="35.25" customHeight="1" x14ac:dyDescent="0.35">
      <c r="A62" s="269"/>
      <c r="B62" s="221" t="str">
        <f>+'Calc Sheet 23_24'!B875</f>
        <v xml:space="preserve">    4.5.1  Subdivision Pri Urban Area:  New Single Phase Split pre-payment meter connection in existing 11kV overhead line or  where 11kV overhead line needs to be exteded up to 350m.</v>
      </c>
      <c r="C62" s="222" t="s">
        <v>241</v>
      </c>
      <c r="D62" s="201">
        <f>+'Calc Sheet 23_24'!H904</f>
        <v>26560</v>
      </c>
      <c r="E62" s="521">
        <v>14510</v>
      </c>
      <c r="F62" s="606">
        <f>+'Calc Sheet 23_24'!H904</f>
        <v>26560</v>
      </c>
      <c r="G62" s="379">
        <f>+'Calc Sheet 23_24'!I904</f>
        <v>29670</v>
      </c>
      <c r="H62" s="228">
        <f>(G62-F62)/F62</f>
        <v>0.1170933734939759</v>
      </c>
      <c r="I62" s="229">
        <f>G62*I$3</f>
        <v>4450.5</v>
      </c>
      <c r="J62" s="562">
        <f>G62+I62</f>
        <v>34120.5</v>
      </c>
      <c r="K62" s="273">
        <v>9100033030416</v>
      </c>
      <c r="M62" s="416">
        <f>+$J62*(1+'Unit tariffs'!$F$2)</f>
        <v>36065.368499999997</v>
      </c>
      <c r="N62" s="417">
        <f>+$M62*(1+'Unit tariffs'!$F$2)</f>
        <v>38121.094504499997</v>
      </c>
    </row>
    <row r="63" spans="1:14" ht="38.5" x14ac:dyDescent="0.35">
      <c r="A63" s="269"/>
      <c r="B63" s="221" t="e">
        <f>+'Calc Sheet 23_24'!#REF!</f>
        <v>#REF!</v>
      </c>
      <c r="C63" s="222" t="s">
        <v>241</v>
      </c>
      <c r="D63" s="235" t="e">
        <f>+'Calc Sheet 23_24'!#REF!</f>
        <v>#REF!</v>
      </c>
      <c r="E63" s="523"/>
      <c r="F63" s="607" t="s">
        <v>261</v>
      </c>
      <c r="G63" s="380" t="e">
        <f>+'Calc Sheet 23_24'!#REF!</f>
        <v>#REF!</v>
      </c>
      <c r="H63" s="228"/>
      <c r="I63" s="229"/>
      <c r="J63" s="562"/>
      <c r="K63" s="271"/>
      <c r="M63" s="416"/>
      <c r="N63" s="417"/>
    </row>
    <row r="64" spans="1:14" ht="38.5" x14ac:dyDescent="0.35">
      <c r="A64" s="269"/>
      <c r="B64" s="221" t="str">
        <f>+'Calc Sheet 23_24'!B909</f>
        <v xml:space="preserve">    4.5.2 Subdivision Peri Urban Area:  New Three Split pre-payment meter connection on the stand boundary, where 11kV overhead line needs to be exteded up to 350m at ADMD = 7,5KVA</v>
      </c>
      <c r="C64" s="222" t="s">
        <v>241</v>
      </c>
      <c r="D64" s="235" t="str">
        <f>+'Calc Sheet 23_24'!H912</f>
        <v>Actual estimated cost plus network contribution for 7.5kVA</v>
      </c>
      <c r="E64" s="523"/>
      <c r="F64" s="607" t="s">
        <v>261</v>
      </c>
      <c r="G64" s="380" t="str">
        <f>+'Calc Sheet 23_24'!I912</f>
        <v>Actual estimated cost plus network contribution for 7.5kVA</v>
      </c>
      <c r="H64" s="228"/>
      <c r="I64" s="229"/>
      <c r="J64" s="562"/>
      <c r="K64" s="271"/>
      <c r="M64" s="416"/>
      <c r="N64" s="417"/>
    </row>
    <row r="65" spans="1:14" ht="15" thickBot="1" x14ac:dyDescent="0.4">
      <c r="A65" s="364"/>
      <c r="B65" s="278"/>
      <c r="C65" s="279"/>
      <c r="D65" s="281"/>
      <c r="E65" s="524"/>
      <c r="F65" s="608"/>
      <c r="G65" s="284"/>
      <c r="H65" s="282"/>
      <c r="I65" s="283"/>
      <c r="J65" s="564"/>
      <c r="K65" s="372"/>
      <c r="M65" s="420"/>
      <c r="N65" s="421"/>
    </row>
    <row r="66" spans="1:14" ht="15.5" x14ac:dyDescent="0.35">
      <c r="A66" s="261"/>
      <c r="B66" s="262" t="str">
        <f>B1</f>
        <v>CENTLEC : ELECTRICITY SERVICES COSTS FOR MANTSOPA MUNIC</v>
      </c>
      <c r="C66" s="263"/>
      <c r="D66" s="264"/>
      <c r="E66" s="534"/>
      <c r="F66" s="601"/>
      <c r="G66" s="267"/>
      <c r="H66" s="265"/>
      <c r="I66" s="266"/>
      <c r="J66" s="559"/>
      <c r="K66" s="268"/>
      <c r="M66" s="406"/>
      <c r="N66" s="407"/>
    </row>
    <row r="67" spans="1:14" x14ac:dyDescent="0.35">
      <c r="A67" s="286"/>
      <c r="B67" s="287" t="s">
        <v>1</v>
      </c>
      <c r="C67" s="288"/>
      <c r="D67" s="323" t="s">
        <v>74</v>
      </c>
      <c r="E67" s="530"/>
      <c r="F67" s="614" t="s">
        <v>74</v>
      </c>
      <c r="G67" s="308" t="s">
        <v>74</v>
      </c>
      <c r="H67" s="324" t="s">
        <v>85</v>
      </c>
      <c r="I67" s="52" t="s">
        <v>441</v>
      </c>
      <c r="J67" s="308" t="s">
        <v>138</v>
      </c>
      <c r="K67" s="325" t="s">
        <v>75</v>
      </c>
      <c r="M67" s="671" t="s">
        <v>138</v>
      </c>
      <c r="N67" s="672" t="s">
        <v>138</v>
      </c>
    </row>
    <row r="68" spans="1:14" x14ac:dyDescent="0.35">
      <c r="A68" s="269"/>
      <c r="B68" s="307" t="s">
        <v>331</v>
      </c>
      <c r="C68" s="226"/>
      <c r="D68" s="328" t="s">
        <v>77</v>
      </c>
      <c r="E68" s="516"/>
      <c r="F68" s="602" t="s">
        <v>77</v>
      </c>
      <c r="G68" s="224" t="s">
        <v>77</v>
      </c>
      <c r="H68" s="327" t="s">
        <v>86</v>
      </c>
      <c r="I68" s="643">
        <f>+'Unit tariffs'!F$3</f>
        <v>0.15</v>
      </c>
      <c r="J68" s="224" t="s">
        <v>139</v>
      </c>
      <c r="K68" s="325" t="s">
        <v>78</v>
      </c>
      <c r="M68" s="666" t="s">
        <v>139</v>
      </c>
      <c r="N68" s="667" t="s">
        <v>139</v>
      </c>
    </row>
    <row r="69" spans="1:14" x14ac:dyDescent="0.35">
      <c r="A69" s="269"/>
      <c r="B69" s="227" t="s">
        <v>1</v>
      </c>
      <c r="C69" s="226"/>
      <c r="D69" s="328" t="str">
        <f>D$4</f>
        <v>2016/2017</v>
      </c>
      <c r="E69" s="516"/>
      <c r="F69" s="665" t="str">
        <f>'Calc Sheet 23_24'!$H$11</f>
        <v>2025/2026</v>
      </c>
      <c r="G69" s="224" t="str">
        <f>'Calc Sheet 23_24'!$I$11</f>
        <v>2026/2027</v>
      </c>
      <c r="H69" s="327" t="str">
        <f>G69</f>
        <v>2026/2027</v>
      </c>
      <c r="I69" s="52" t="str">
        <f>G69</f>
        <v>2026/2027</v>
      </c>
      <c r="J69" s="224" t="str">
        <f>I69</f>
        <v>2026/2027</v>
      </c>
      <c r="K69" s="325" t="s">
        <v>79</v>
      </c>
      <c r="M69" s="666" t="s">
        <v>431</v>
      </c>
      <c r="N69" s="667" t="s">
        <v>451</v>
      </c>
    </row>
    <row r="70" spans="1:14" x14ac:dyDescent="0.35">
      <c r="A70" s="269"/>
      <c r="B70" s="227" t="s">
        <v>1</v>
      </c>
      <c r="C70" s="226"/>
      <c r="D70" s="328" t="s">
        <v>80</v>
      </c>
      <c r="E70" s="516"/>
      <c r="F70" s="602" t="s">
        <v>80</v>
      </c>
      <c r="G70" s="224" t="s">
        <v>80</v>
      </c>
      <c r="H70" s="327"/>
      <c r="I70" s="52"/>
      <c r="J70" s="224"/>
      <c r="K70" s="325"/>
      <c r="M70" s="408"/>
      <c r="N70" s="409"/>
    </row>
    <row r="71" spans="1:14" ht="19.5" customHeight="1" x14ac:dyDescent="0.35">
      <c r="A71" s="269"/>
      <c r="B71" s="227" t="str">
        <f>'Calc Sheet 23_24'!B915</f>
        <v>5.  ILLUMINATING SIGNS</v>
      </c>
      <c r="C71" s="226"/>
      <c r="D71" s="218"/>
      <c r="E71" s="520"/>
      <c r="F71" s="605"/>
      <c r="G71" s="220"/>
      <c r="H71" s="219"/>
      <c r="I71" s="216"/>
      <c r="J71" s="561"/>
      <c r="K71" s="270"/>
      <c r="M71" s="414"/>
      <c r="N71" s="415"/>
    </row>
    <row r="72" spans="1:14" x14ac:dyDescent="0.35">
      <c r="A72" s="269"/>
      <c r="B72" s="221" t="s">
        <v>1</v>
      </c>
      <c r="C72" s="222"/>
      <c r="D72" s="218"/>
      <c r="E72" s="520"/>
      <c r="F72" s="605"/>
      <c r="G72" s="220"/>
      <c r="H72" s="219"/>
      <c r="I72" s="216"/>
      <c r="J72" s="561"/>
      <c r="K72" s="270" t="s">
        <v>1</v>
      </c>
      <c r="M72" s="414"/>
      <c r="N72" s="415"/>
    </row>
    <row r="73" spans="1:14" x14ac:dyDescent="0.35">
      <c r="A73" s="269"/>
      <c r="B73" s="221" t="s">
        <v>100</v>
      </c>
      <c r="C73" s="222"/>
      <c r="D73" s="218" t="s">
        <v>205</v>
      </c>
      <c r="E73" s="520"/>
      <c r="F73" s="605" t="s">
        <v>205</v>
      </c>
      <c r="G73" s="220" t="s">
        <v>205</v>
      </c>
      <c r="H73" s="219"/>
      <c r="I73" s="216"/>
      <c r="J73" s="561"/>
      <c r="K73" s="271">
        <v>9100033030416</v>
      </c>
      <c r="M73" s="414"/>
      <c r="N73" s="415"/>
    </row>
    <row r="74" spans="1:14" x14ac:dyDescent="0.35">
      <c r="A74" s="269"/>
      <c r="B74" s="221" t="s">
        <v>1</v>
      </c>
      <c r="C74" s="222"/>
      <c r="D74" s="218"/>
      <c r="E74" s="520"/>
      <c r="F74" s="605"/>
      <c r="G74" s="220"/>
      <c r="H74" s="219"/>
      <c r="I74" s="216"/>
      <c r="J74" s="561"/>
      <c r="K74" s="275"/>
      <c r="M74" s="414"/>
      <c r="N74" s="415"/>
    </row>
    <row r="75" spans="1:14" x14ac:dyDescent="0.35">
      <c r="A75" s="269"/>
      <c r="B75" s="221" t="str">
        <f>'Calc Sheet 23_24'!B919</f>
        <v>Levy for electricity consumed</v>
      </c>
      <c r="C75" s="222"/>
      <c r="D75" s="201">
        <f>'Calc Sheet 23_24'!H926</f>
        <v>111</v>
      </c>
      <c r="E75" s="521"/>
      <c r="F75" s="606">
        <f>+'Calc Sheet 23_24'!H926</f>
        <v>111</v>
      </c>
      <c r="G75" s="379">
        <f>'Calc Sheet 23_24'!I926</f>
        <v>111</v>
      </c>
      <c r="H75" s="228">
        <f>(G75-F75)/F75</f>
        <v>0</v>
      </c>
      <c r="I75" s="229">
        <f>G75*I$3</f>
        <v>16.649999999999999</v>
      </c>
      <c r="J75" s="562">
        <f>G75+I75</f>
        <v>127.65</v>
      </c>
      <c r="K75" s="271">
        <v>9100033030416</v>
      </c>
      <c r="M75" s="416">
        <f>+$J75*(1+'Unit tariffs'!$F$2)</f>
        <v>134.92605</v>
      </c>
      <c r="N75" s="417">
        <f>+$M75*(1+'Unit tariffs'!$F$2)</f>
        <v>142.61683485</v>
      </c>
    </row>
    <row r="76" spans="1:14" x14ac:dyDescent="0.35">
      <c r="A76" s="269"/>
      <c r="B76" s="221" t="s">
        <v>1</v>
      </c>
      <c r="C76" s="222"/>
      <c r="D76" s="201"/>
      <c r="E76" s="521"/>
      <c r="F76" s="606"/>
      <c r="G76" s="379"/>
      <c r="H76" s="242"/>
      <c r="I76" s="230"/>
      <c r="J76" s="224"/>
      <c r="K76" s="275"/>
      <c r="M76" s="408"/>
      <c r="N76" s="409"/>
    </row>
    <row r="77" spans="1:14" x14ac:dyDescent="0.35">
      <c r="A77" s="269"/>
      <c r="B77" s="221"/>
      <c r="C77" s="222"/>
      <c r="D77" s="218"/>
      <c r="E77" s="520"/>
      <c r="F77" s="605"/>
      <c r="G77" s="220"/>
      <c r="H77" s="219"/>
      <c r="I77" s="216"/>
      <c r="J77" s="561"/>
      <c r="K77" s="270"/>
      <c r="M77" s="414"/>
      <c r="N77" s="415"/>
    </row>
    <row r="78" spans="1:14" ht="16.5" customHeight="1" x14ac:dyDescent="0.35">
      <c r="A78" s="286"/>
      <c r="B78" s="287" t="str">
        <f>'Calc Sheet 23_24'!B934</f>
        <v xml:space="preserve">6. TEMPORARY CONNECTIONS - MAXIMUM PERIOD OF 12 MONTHS </v>
      </c>
      <c r="C78" s="288"/>
      <c r="D78" s="289" t="s">
        <v>1</v>
      </c>
      <c r="E78" s="525"/>
      <c r="F78" s="609" t="s">
        <v>1</v>
      </c>
      <c r="G78" s="382" t="s">
        <v>1</v>
      </c>
      <c r="H78" s="290"/>
      <c r="I78" s="291"/>
      <c r="J78" s="560"/>
      <c r="K78" s="310" t="s">
        <v>1</v>
      </c>
      <c r="M78" s="412"/>
      <c r="N78" s="413"/>
    </row>
    <row r="79" spans="1:14" x14ac:dyDescent="0.35">
      <c r="A79" s="269"/>
      <c r="B79" s="221"/>
      <c r="C79" s="222"/>
      <c r="D79" s="201" t="s">
        <v>81</v>
      </c>
      <c r="E79" s="521"/>
      <c r="F79" s="606" t="s">
        <v>81</v>
      </c>
      <c r="G79" s="379" t="s">
        <v>81</v>
      </c>
      <c r="H79" s="219"/>
      <c r="I79" s="216"/>
      <c r="J79" s="561"/>
      <c r="K79" s="270"/>
      <c r="M79" s="414"/>
      <c r="N79" s="415"/>
    </row>
    <row r="80" spans="1:14" x14ac:dyDescent="0.35">
      <c r="A80" s="269"/>
      <c r="B80" s="221" t="s">
        <v>82</v>
      </c>
      <c r="C80" s="222"/>
      <c r="D80" s="201"/>
      <c r="E80" s="521"/>
      <c r="F80" s="606"/>
      <c r="G80" s="379"/>
      <c r="H80" s="219"/>
      <c r="I80" s="216"/>
      <c r="J80" s="561"/>
      <c r="K80" s="270"/>
      <c r="M80" s="414"/>
      <c r="N80" s="415"/>
    </row>
    <row r="81" spans="1:14" x14ac:dyDescent="0.35">
      <c r="A81" s="269"/>
      <c r="B81" s="221" t="s">
        <v>83</v>
      </c>
      <c r="C81" s="222"/>
      <c r="D81" s="201"/>
      <c r="E81" s="521"/>
      <c r="F81" s="606"/>
      <c r="G81" s="379"/>
      <c r="H81" s="219"/>
      <c r="I81" s="216"/>
      <c r="J81" s="561"/>
      <c r="K81" s="270"/>
      <c r="M81" s="414"/>
      <c r="N81" s="415"/>
    </row>
    <row r="82" spans="1:14" x14ac:dyDescent="0.35">
      <c r="A82" s="269"/>
      <c r="B82" s="221" t="s">
        <v>84</v>
      </c>
      <c r="C82" s="222"/>
      <c r="D82" s="201"/>
      <c r="E82" s="521"/>
      <c r="F82" s="606"/>
      <c r="G82" s="379"/>
      <c r="H82" s="219"/>
      <c r="I82" s="216"/>
      <c r="J82" s="561"/>
      <c r="K82" s="270" t="s">
        <v>1</v>
      </c>
      <c r="M82" s="414"/>
      <c r="N82" s="415"/>
    </row>
    <row r="83" spans="1:14" x14ac:dyDescent="0.35">
      <c r="A83" s="269"/>
      <c r="B83" s="221"/>
      <c r="C83" s="222"/>
      <c r="D83" s="201"/>
      <c r="E83" s="521"/>
      <c r="F83" s="606"/>
      <c r="G83" s="379"/>
      <c r="H83" s="219"/>
      <c r="I83" s="216"/>
      <c r="J83" s="561"/>
      <c r="K83" s="270"/>
      <c r="M83" s="414"/>
      <c r="N83" s="415"/>
    </row>
    <row r="84" spans="1:14" ht="38.5" x14ac:dyDescent="0.35">
      <c r="A84" s="269"/>
      <c r="B84" s="221" t="str">
        <f>'Calc Sheet 23_24'!B936</f>
        <v>6.1 Temporary builders underground connection - Three phase 80 Ampère Prepaid meter only.  Please note: These connections would only be permitted  for a maximum period of 12 months after which it will be removed by CENTLEC. (Where a trench is not longer than 12m)</v>
      </c>
      <c r="C84" s="222"/>
      <c r="D84" s="201">
        <f>'Calc Sheet 23_24'!H972</f>
        <v>27870</v>
      </c>
      <c r="E84" s="521">
        <v>25880</v>
      </c>
      <c r="F84" s="606">
        <f>+'Calc Sheet 23_24'!H972</f>
        <v>27870</v>
      </c>
      <c r="G84" s="379">
        <f>'Calc Sheet 23_24'!I972</f>
        <v>30220</v>
      </c>
      <c r="H84" s="228">
        <f>(G84-F84)/F84</f>
        <v>8.4320057409400795E-2</v>
      </c>
      <c r="I84" s="229">
        <f>G84*I$3</f>
        <v>4533</v>
      </c>
      <c r="J84" s="562">
        <f>G84+I84</f>
        <v>34753</v>
      </c>
      <c r="K84" s="271">
        <v>9100033030416</v>
      </c>
      <c r="M84" s="416">
        <f>+$J84*(1+'Unit tariffs'!$F$2)</f>
        <v>36733.920999999995</v>
      </c>
      <c r="N84" s="417">
        <f>+$M84*(1+'Unit tariffs'!$F$2)</f>
        <v>38827.754496999994</v>
      </c>
    </row>
    <row r="85" spans="1:14" ht="12.75" customHeight="1" x14ac:dyDescent="0.35">
      <c r="A85" s="269"/>
      <c r="B85" s="221"/>
      <c r="C85" s="222"/>
      <c r="D85" s="201"/>
      <c r="E85" s="521"/>
      <c r="F85" s="606"/>
      <c r="G85" s="379"/>
      <c r="H85" s="228"/>
      <c r="I85" s="229"/>
      <c r="J85" s="562"/>
      <c r="K85" s="271"/>
      <c r="M85" s="416"/>
      <c r="N85" s="417"/>
    </row>
    <row r="86" spans="1:14" ht="44.4" customHeight="1" x14ac:dyDescent="0.35">
      <c r="A86" s="269"/>
      <c r="B86" s="221" t="s">
        <v>332</v>
      </c>
      <c r="C86" s="222"/>
      <c r="D86" s="243"/>
      <c r="E86" s="522"/>
      <c r="F86" s="617"/>
      <c r="G86" s="385"/>
      <c r="H86" s="228"/>
      <c r="I86" s="229"/>
      <c r="J86" s="562"/>
      <c r="K86" s="271"/>
      <c r="M86" s="416"/>
      <c r="N86" s="417"/>
    </row>
    <row r="87" spans="1:14" ht="6.75" customHeight="1" x14ac:dyDescent="0.35">
      <c r="A87" s="269"/>
      <c r="B87" s="221"/>
      <c r="C87" s="222"/>
      <c r="D87" s="243"/>
      <c r="E87" s="522"/>
      <c r="F87" s="617"/>
      <c r="G87" s="385"/>
      <c r="H87" s="228"/>
      <c r="I87" s="229"/>
      <c r="J87" s="562"/>
      <c r="K87" s="271"/>
      <c r="M87" s="416"/>
      <c r="N87" s="417"/>
    </row>
    <row r="88" spans="1:14" ht="38.5" x14ac:dyDescent="0.35">
      <c r="A88" s="269"/>
      <c r="B88" s="221" t="str">
        <f>+'Calc Sheet 23_24'!B977:G977</f>
        <v>6.2.1 Temporary connection for a special event - Single phase 80Ampère P/P with over head Airdac - Church Crusades, Social, Cultural and community events, temporary creches, police stations, etc.</v>
      </c>
      <c r="C88" s="222"/>
      <c r="D88" s="240">
        <f>+'Calc Sheet 23_24'!H1008</f>
        <v>12100</v>
      </c>
      <c r="E88" s="533">
        <v>8260</v>
      </c>
      <c r="F88" s="616">
        <f>+'Calc Sheet 23_24'!H1008</f>
        <v>12100</v>
      </c>
      <c r="G88" s="384">
        <f>+'Calc Sheet 23_24'!I1008</f>
        <v>8150</v>
      </c>
      <c r="H88" s="228">
        <f>(G88-F88)/F88</f>
        <v>-0.32644628099173556</v>
      </c>
      <c r="I88" s="229">
        <f>G88*I$3</f>
        <v>1222.5</v>
      </c>
      <c r="J88" s="562">
        <f>G88+I88</f>
        <v>9372.5</v>
      </c>
      <c r="K88" s="271">
        <v>9100033030416</v>
      </c>
      <c r="M88" s="416">
        <f>+$J88*(1+'Unit tariffs'!$F$2)</f>
        <v>9906.7325000000001</v>
      </c>
      <c r="N88" s="417">
        <f>+$M88*(1+'Unit tariffs'!$F$2)</f>
        <v>10471.416252499999</v>
      </c>
    </row>
    <row r="89" spans="1:14" ht="38.5" x14ac:dyDescent="0.35">
      <c r="A89" s="269"/>
      <c r="B89" s="221" t="str">
        <f>+'Calc Sheet 23_24'!B1011:G1011</f>
        <v>6.2.2 Temporary connection for a special event - Three phase 80Ampère P/P- Church Crusades, Social, Cultural and community events, temporary creches, police stations, Car wash ect (where a trench is not longer than 12m)</v>
      </c>
      <c r="C89" s="222"/>
      <c r="D89" s="240">
        <f>+'Calc Sheet 23_24'!H1009</f>
        <v>1.6556291390728477E-3</v>
      </c>
      <c r="E89" s="533">
        <v>25880</v>
      </c>
      <c r="F89" s="616">
        <f>+'Calc Sheet 23_24'!H1046</f>
        <v>38910</v>
      </c>
      <c r="G89" s="384">
        <f>+'Calc Sheet 23_24'!I1046</f>
        <v>44570</v>
      </c>
      <c r="H89" s="228">
        <f>(G89-F89)/F89</f>
        <v>0.14546389103058341</v>
      </c>
      <c r="I89" s="229">
        <f>G89*I$3</f>
        <v>6685.5</v>
      </c>
      <c r="J89" s="562">
        <f>G89+I89</f>
        <v>51255.5</v>
      </c>
      <c r="K89" s="271">
        <v>9100033030416</v>
      </c>
      <c r="M89" s="416">
        <f>+$J89*(1+'Unit tariffs'!$F$2)</f>
        <v>54177.063499999997</v>
      </c>
      <c r="N89" s="417">
        <f>+$M89*(1+'Unit tariffs'!$F$2)</f>
        <v>57265.156119499996</v>
      </c>
    </row>
    <row r="90" spans="1:14" ht="44" customHeight="1" x14ac:dyDescent="0.35">
      <c r="A90" s="338"/>
      <c r="B90" s="339" t="str">
        <f>+'Calc Sheet 23_24'!B1049:G1049</f>
        <v>6.2.3 Temporary connection for a special event - Three phase 80Ampère P/P- Car wash etc (Subsidised sites)</v>
      </c>
      <c r="C90" s="340"/>
      <c r="D90" s="240">
        <f>+'Calc Sheet 23_24'!H1010</f>
        <v>0</v>
      </c>
      <c r="E90" s="535">
        <v>20525</v>
      </c>
      <c r="F90" s="618">
        <f>+'Calc Sheet 23_24'!H1084</f>
        <v>38200</v>
      </c>
      <c r="G90" s="513">
        <f>+'Calc Sheet 23_24'!I1084</f>
        <v>41250</v>
      </c>
      <c r="H90" s="228">
        <f>(G90-F90)/F90</f>
        <v>7.9842931937172776E-2</v>
      </c>
      <c r="I90" s="229">
        <f>G90*I$3</f>
        <v>6187.5</v>
      </c>
      <c r="J90" s="562">
        <f>G90+I90</f>
        <v>47437.5</v>
      </c>
      <c r="K90" s="341">
        <v>9100033030416</v>
      </c>
      <c r="M90" s="416">
        <f>+$J90*(1+'Unit tariffs'!$F$2)</f>
        <v>50141.4375</v>
      </c>
      <c r="N90" s="417">
        <f>+$M90*(1+'Unit tariffs'!$F$2)</f>
        <v>52999.499437499995</v>
      </c>
    </row>
    <row r="91" spans="1:14" ht="15" thickBot="1" x14ac:dyDescent="0.4">
      <c r="A91" s="364"/>
      <c r="B91" s="373"/>
      <c r="C91" s="279"/>
      <c r="D91" s="281"/>
      <c r="E91" s="524"/>
      <c r="F91" s="608"/>
      <c r="G91" s="284"/>
      <c r="H91" s="282"/>
      <c r="I91" s="283"/>
      <c r="J91" s="564"/>
      <c r="K91" s="285"/>
      <c r="M91" s="420"/>
      <c r="N91" s="421"/>
    </row>
    <row r="92" spans="1:14" ht="16.5" customHeight="1" x14ac:dyDescent="0.35">
      <c r="A92" s="261"/>
      <c r="B92" s="262" t="str">
        <f>$B1</f>
        <v>CENTLEC : ELECTRICITY SERVICES COSTS FOR MANTSOPA MUNIC</v>
      </c>
      <c r="C92" s="263"/>
      <c r="D92" s="264"/>
      <c r="E92" s="534"/>
      <c r="F92" s="601"/>
      <c r="G92" s="267"/>
      <c r="H92" s="265"/>
      <c r="I92" s="266"/>
      <c r="J92" s="559"/>
      <c r="K92" s="268"/>
      <c r="M92" s="406"/>
      <c r="N92" s="407"/>
    </row>
    <row r="93" spans="1:14" x14ac:dyDescent="0.35">
      <c r="A93" s="269"/>
      <c r="B93" s="227" t="s">
        <v>1</v>
      </c>
      <c r="C93" s="226"/>
      <c r="D93" s="328" t="s">
        <v>74</v>
      </c>
      <c r="E93" s="516"/>
      <c r="F93" s="602" t="s">
        <v>74</v>
      </c>
      <c r="G93" s="224" t="s">
        <v>74</v>
      </c>
      <c r="H93" s="327" t="s">
        <v>85</v>
      </c>
      <c r="I93" s="52" t="s">
        <v>441</v>
      </c>
      <c r="J93" s="224" t="s">
        <v>138</v>
      </c>
      <c r="K93" s="325" t="s">
        <v>75</v>
      </c>
      <c r="M93" s="666" t="s">
        <v>138</v>
      </c>
      <c r="N93" s="667" t="s">
        <v>138</v>
      </c>
    </row>
    <row r="94" spans="1:14" x14ac:dyDescent="0.35">
      <c r="A94" s="269"/>
      <c r="B94" s="225" t="s">
        <v>76</v>
      </c>
      <c r="C94" s="226"/>
      <c r="D94" s="328" t="s">
        <v>77</v>
      </c>
      <c r="E94" s="516"/>
      <c r="F94" s="602" t="s">
        <v>77</v>
      </c>
      <c r="G94" s="224" t="s">
        <v>77</v>
      </c>
      <c r="H94" s="327" t="s">
        <v>86</v>
      </c>
      <c r="I94" s="643">
        <f>+'Unit tariffs'!F$3</f>
        <v>0.15</v>
      </c>
      <c r="J94" s="224" t="s">
        <v>139</v>
      </c>
      <c r="K94" s="325" t="s">
        <v>78</v>
      </c>
      <c r="M94" s="666" t="s">
        <v>139</v>
      </c>
      <c r="N94" s="667" t="s">
        <v>139</v>
      </c>
    </row>
    <row r="95" spans="1:14" x14ac:dyDescent="0.35">
      <c r="A95" s="269"/>
      <c r="B95" s="227" t="s">
        <v>1</v>
      </c>
      <c r="C95" s="226"/>
      <c r="D95" s="328" t="str">
        <f>D$4</f>
        <v>2016/2017</v>
      </c>
      <c r="E95" s="516"/>
      <c r="F95" s="665" t="str">
        <f>'Calc Sheet 23_24'!$H$11</f>
        <v>2025/2026</v>
      </c>
      <c r="G95" s="224" t="str">
        <f>'Calc Sheet 23_24'!$I$11</f>
        <v>2026/2027</v>
      </c>
      <c r="H95" s="327" t="str">
        <f>G95</f>
        <v>2026/2027</v>
      </c>
      <c r="I95" s="52" t="str">
        <f>G95</f>
        <v>2026/2027</v>
      </c>
      <c r="J95" s="224" t="str">
        <f>I95</f>
        <v>2026/2027</v>
      </c>
      <c r="K95" s="325" t="s">
        <v>79</v>
      </c>
      <c r="M95" s="666" t="s">
        <v>431</v>
      </c>
      <c r="N95" s="667" t="s">
        <v>451</v>
      </c>
    </row>
    <row r="96" spans="1:14" ht="15" thickBot="1" x14ac:dyDescent="0.4">
      <c r="A96" s="293"/>
      <c r="B96" s="294" t="s">
        <v>1</v>
      </c>
      <c r="C96" s="295"/>
      <c r="D96" s="331" t="s">
        <v>80</v>
      </c>
      <c r="E96" s="517"/>
      <c r="F96" s="603" t="s">
        <v>80</v>
      </c>
      <c r="G96" s="334" t="s">
        <v>80</v>
      </c>
      <c r="H96" s="332"/>
      <c r="I96" s="333"/>
      <c r="J96" s="334"/>
      <c r="K96" s="335"/>
      <c r="M96" s="410"/>
      <c r="N96" s="411"/>
    </row>
    <row r="97" spans="1:14" ht="15" thickTop="1" x14ac:dyDescent="0.35">
      <c r="A97" s="286"/>
      <c r="B97" s="287" t="str">
        <f>'Calc Sheet 23_24'!B1089</f>
        <v>7. ALTERATIONS TO ELECTRICITY SERVICES</v>
      </c>
      <c r="C97" s="288"/>
      <c r="D97" s="289" t="s">
        <v>1</v>
      </c>
      <c r="E97" s="525"/>
      <c r="F97" s="609" t="s">
        <v>1</v>
      </c>
      <c r="G97" s="382" t="s">
        <v>1</v>
      </c>
      <c r="H97" s="290" t="s">
        <v>1</v>
      </c>
      <c r="I97" s="291"/>
      <c r="J97" s="560"/>
      <c r="K97" s="310"/>
      <c r="L97" s="1"/>
      <c r="M97" s="412"/>
      <c r="N97" s="413"/>
    </row>
    <row r="98" spans="1:14" x14ac:dyDescent="0.35">
      <c r="A98" s="269"/>
      <c r="B98" s="221" t="s">
        <v>1</v>
      </c>
      <c r="C98" s="222"/>
      <c r="D98" s="201"/>
      <c r="E98" s="521"/>
      <c r="F98" s="606"/>
      <c r="G98" s="379"/>
      <c r="H98" s="219" t="s">
        <v>1</v>
      </c>
      <c r="I98" s="216"/>
      <c r="J98" s="561"/>
      <c r="K98" s="270"/>
      <c r="L98" s="1"/>
      <c r="M98" s="414"/>
      <c r="N98" s="415"/>
    </row>
    <row r="99" spans="1:14" ht="26" x14ac:dyDescent="0.35">
      <c r="A99" s="269"/>
      <c r="B99" s="221" t="str">
        <f>'Calc Sheet 23_24'!B1091</f>
        <v>7.1.1 Conversion of a single register meter to Single phase Pre-payment where meterbox exist on erf boundary - ( No charge for Prepayment  meter)</v>
      </c>
      <c r="C99" s="222"/>
      <c r="D99" s="201">
        <f>'Calc Sheet 23_24'!H1113</f>
        <v>2060</v>
      </c>
      <c r="E99" s="521">
        <v>1410</v>
      </c>
      <c r="F99" s="616">
        <f>'Calc Sheet 23_24'!H1113</f>
        <v>2060</v>
      </c>
      <c r="G99" s="379">
        <f>'Calc Sheet 23_24'!I1113</f>
        <v>2330</v>
      </c>
      <c r="H99" s="228">
        <f t="shared" ref="H99:H106" si="1">(G99-F99)/F99</f>
        <v>0.13106796116504854</v>
      </c>
      <c r="I99" s="229">
        <f t="shared" ref="I99:I110" si="2">G99*I$3</f>
        <v>349.5</v>
      </c>
      <c r="J99" s="562">
        <f t="shared" ref="J99:J110" si="3">G99+I99</f>
        <v>2679.5</v>
      </c>
      <c r="K99" s="271">
        <v>9100033030416</v>
      </c>
      <c r="L99" s="1"/>
      <c r="M99" s="416">
        <f>+$J99*(1+'Unit tariffs'!$F$2)</f>
        <v>2832.2314999999999</v>
      </c>
      <c r="N99" s="417">
        <f>+$M99*(1+'Unit tariffs'!$F$2)</f>
        <v>2993.6686954999996</v>
      </c>
    </row>
    <row r="100" spans="1:14" ht="26" x14ac:dyDescent="0.35">
      <c r="A100" s="269"/>
      <c r="B100" s="221" t="str">
        <f>'Calc Sheet 23_24'!B1120</f>
        <v>7.1.2 Conversion of Three phase (TOU/kWH) connection to Prepayment meter - Existing meterbox on erf boundary</v>
      </c>
      <c r="C100" s="222" t="s">
        <v>295</v>
      </c>
      <c r="D100" s="201">
        <f>'Calc Sheet 23_24'!H1143</f>
        <v>1810</v>
      </c>
      <c r="E100" s="521">
        <v>9390</v>
      </c>
      <c r="F100" s="616">
        <f>'Calc Sheet 23_24'!H1143</f>
        <v>1810</v>
      </c>
      <c r="G100" s="379">
        <f>'Calc Sheet 23_24'!I1143</f>
        <v>2030</v>
      </c>
      <c r="H100" s="228">
        <f t="shared" si="1"/>
        <v>0.12154696132596685</v>
      </c>
      <c r="I100" s="229">
        <f t="shared" si="2"/>
        <v>304.5</v>
      </c>
      <c r="J100" s="562">
        <f t="shared" si="3"/>
        <v>2334.5</v>
      </c>
      <c r="K100" s="271">
        <v>9100033030416</v>
      </c>
      <c r="L100" s="1"/>
      <c r="M100" s="416">
        <f>+$J100*(1+'Unit tariffs'!$F$2)</f>
        <v>2467.5664999999999</v>
      </c>
      <c r="N100" s="417">
        <f>+$M100*(1+'Unit tariffs'!$F$2)</f>
        <v>2608.2177904999999</v>
      </c>
    </row>
    <row r="101" spans="1:14" x14ac:dyDescent="0.35">
      <c r="A101" s="269"/>
      <c r="B101" s="221" t="str">
        <f>'Calc Sheet 23_24'!B1149</f>
        <v xml:space="preserve">7.1.3 Upgrade of single phase Urban connection to three phase - Time of Use Meter(TOU)            </v>
      </c>
      <c r="C101" s="222" t="s">
        <v>295</v>
      </c>
      <c r="D101" s="201">
        <f>'Calc Sheet 23_24'!H1181</f>
        <v>21350</v>
      </c>
      <c r="E101" s="521">
        <v>18190</v>
      </c>
      <c r="F101" s="616">
        <f>'Calc Sheet 23_24'!H1181</f>
        <v>21350</v>
      </c>
      <c r="G101" s="379">
        <f>'Calc Sheet 23_24'!I1181</f>
        <v>13790</v>
      </c>
      <c r="H101" s="228">
        <f t="shared" si="1"/>
        <v>-0.35409836065573769</v>
      </c>
      <c r="I101" s="229">
        <f t="shared" si="2"/>
        <v>2068.5</v>
      </c>
      <c r="J101" s="562">
        <f t="shared" si="3"/>
        <v>15858.5</v>
      </c>
      <c r="K101" s="271">
        <v>9100033030416</v>
      </c>
      <c r="L101" s="1"/>
      <c r="M101" s="416">
        <f>+$J101*(1+'Unit tariffs'!$F$2)</f>
        <v>16762.434499999999</v>
      </c>
      <c r="N101" s="417">
        <f>+$M101*(1+'Unit tariffs'!$F$2)</f>
        <v>17717.893266499999</v>
      </c>
    </row>
    <row r="102" spans="1:14" x14ac:dyDescent="0.35">
      <c r="A102" s="269"/>
      <c r="B102" s="221" t="str">
        <f>'Calc Sheet 23_24'!B1186</f>
        <v xml:space="preserve">7.1.4 Upgrade of single phase Urban connection to three phase - Split pre-payment meter             </v>
      </c>
      <c r="C102" s="222" t="s">
        <v>295</v>
      </c>
      <c r="D102" s="201">
        <f>'Calc Sheet 23_24'!H1217</f>
        <v>13670</v>
      </c>
      <c r="E102" s="521">
        <v>10960</v>
      </c>
      <c r="F102" s="616">
        <f>'Calc Sheet 23_24'!H1217</f>
        <v>13670</v>
      </c>
      <c r="G102" s="379">
        <f>'Calc Sheet 23_24'!I1217</f>
        <v>14760</v>
      </c>
      <c r="H102" s="228">
        <f t="shared" si="1"/>
        <v>7.9736649597659109E-2</v>
      </c>
      <c r="I102" s="229">
        <f t="shared" si="2"/>
        <v>2214</v>
      </c>
      <c r="J102" s="562">
        <f t="shared" si="3"/>
        <v>16974</v>
      </c>
      <c r="K102" s="271">
        <v>9100033030416</v>
      </c>
      <c r="L102" s="1"/>
      <c r="M102" s="416">
        <f>+$J102*(1+'Unit tariffs'!$F$2)</f>
        <v>17941.518</v>
      </c>
      <c r="N102" s="417">
        <f>+$M102*(1+'Unit tariffs'!$F$2)</f>
        <v>18964.184525999997</v>
      </c>
    </row>
    <row r="103" spans="1:14" x14ac:dyDescent="0.35">
      <c r="A103" s="269"/>
      <c r="B103" s="221" t="str">
        <f>'Calc Sheet 23_24'!B1223</f>
        <v xml:space="preserve">8.1.5 Upgrading of single phase Urban connection to three phase - Time of Use Meter(TOU)            </v>
      </c>
      <c r="C103" s="222" t="s">
        <v>295</v>
      </c>
      <c r="D103" s="201">
        <f>'Calc Sheet 23_24'!H1254</f>
        <v>18400</v>
      </c>
      <c r="E103" s="521">
        <v>15890</v>
      </c>
      <c r="F103" s="616">
        <f>'Calc Sheet 23_24'!H1254</f>
        <v>18400</v>
      </c>
      <c r="G103" s="379">
        <f>'Calc Sheet 23_24'!I1254</f>
        <v>10460</v>
      </c>
      <c r="H103" s="228">
        <f t="shared" si="1"/>
        <v>-0.43152173913043479</v>
      </c>
      <c r="I103" s="229">
        <f t="shared" si="2"/>
        <v>1569</v>
      </c>
      <c r="J103" s="562">
        <f t="shared" si="3"/>
        <v>12029</v>
      </c>
      <c r="K103" s="271">
        <v>9100033030416</v>
      </c>
      <c r="L103" s="1"/>
      <c r="M103" s="416">
        <f>+$J103*(1+'Unit tariffs'!$F$2)</f>
        <v>12714.652999999998</v>
      </c>
      <c r="N103" s="417">
        <f>+$M103*(1+'Unit tariffs'!$F$2)</f>
        <v>13439.388220999997</v>
      </c>
    </row>
    <row r="104" spans="1:14" x14ac:dyDescent="0.35">
      <c r="A104" s="269"/>
      <c r="B104" s="221" t="str">
        <f>'Calc Sheet 23_24'!B1258</f>
        <v xml:space="preserve">7.1.6 Upgrade of single phase Urban connection to three phase - Split pre-payment meter            </v>
      </c>
      <c r="C104" s="222" t="s">
        <v>295</v>
      </c>
      <c r="D104" s="201">
        <f>'Calc Sheet 23_24'!H1288</f>
        <v>16290</v>
      </c>
      <c r="E104" s="521">
        <v>14355</v>
      </c>
      <c r="F104" s="616">
        <f>'Calc Sheet 23_24'!H1288</f>
        <v>16290</v>
      </c>
      <c r="G104" s="379">
        <f>'Calc Sheet 23_24'!I1288</f>
        <v>10090</v>
      </c>
      <c r="H104" s="228">
        <f t="shared" si="1"/>
        <v>-0.38060159607120936</v>
      </c>
      <c r="I104" s="229">
        <f t="shared" si="2"/>
        <v>1513.5</v>
      </c>
      <c r="J104" s="562">
        <f t="shared" si="3"/>
        <v>11603.5</v>
      </c>
      <c r="K104" s="271">
        <v>9100033030416</v>
      </c>
      <c r="M104" s="416">
        <f>+$J104*(1+'Unit tariffs'!$F$2)</f>
        <v>12264.8995</v>
      </c>
      <c r="N104" s="417">
        <f>+$M104*(1+'Unit tariffs'!$F$2)</f>
        <v>12963.998771499999</v>
      </c>
    </row>
    <row r="105" spans="1:14" x14ac:dyDescent="0.35">
      <c r="A105" s="269"/>
      <c r="B105" s="221" t="str">
        <f>'Calc Sheet 23_24'!B1293</f>
        <v xml:space="preserve">7.1.7 Upgrade of single phase Peri-Urban connection to three phase -Time of Use Meter(TOU)  </v>
      </c>
      <c r="C105" s="222" t="s">
        <v>297</v>
      </c>
      <c r="D105" s="201">
        <f>'Calc Sheet 23_24'!H1325</f>
        <v>22900</v>
      </c>
      <c r="E105" s="521">
        <v>20570</v>
      </c>
      <c r="F105" s="616">
        <f>'Calc Sheet 23_24'!H1325</f>
        <v>22900</v>
      </c>
      <c r="G105" s="379">
        <f>'Calc Sheet 23_24'!I1325</f>
        <v>19730</v>
      </c>
      <c r="H105" s="228">
        <f t="shared" si="1"/>
        <v>-0.13842794759825328</v>
      </c>
      <c r="I105" s="229">
        <f t="shared" si="2"/>
        <v>2959.5</v>
      </c>
      <c r="J105" s="562">
        <f t="shared" si="3"/>
        <v>22689.5</v>
      </c>
      <c r="K105" s="271">
        <v>9100033030416</v>
      </c>
      <c r="M105" s="416">
        <f>+$J105*(1+'Unit tariffs'!$F$2)</f>
        <v>23982.801499999998</v>
      </c>
      <c r="N105" s="417">
        <f>+$M105*(1+'Unit tariffs'!$F$2)</f>
        <v>25349.821185499997</v>
      </c>
    </row>
    <row r="106" spans="1:14" x14ac:dyDescent="0.35">
      <c r="A106" s="269"/>
      <c r="B106" s="221" t="str">
        <f>'Calc Sheet 23_24'!B1330</f>
        <v xml:space="preserve">7.1.8 Upgrade of single phase Peri-Urban connection to three phase -Split pre-payment meter    </v>
      </c>
      <c r="C106" s="222" t="s">
        <v>297</v>
      </c>
      <c r="D106" s="201">
        <f>'Calc Sheet 23_24'!H1362</f>
        <v>24860</v>
      </c>
      <c r="E106" s="521">
        <v>23200</v>
      </c>
      <c r="F106" s="616">
        <f>'Calc Sheet 23_24'!H1362</f>
        <v>24860</v>
      </c>
      <c r="G106" s="379">
        <f>'Calc Sheet 23_24'!I1362</f>
        <v>19730</v>
      </c>
      <c r="H106" s="228">
        <f t="shared" si="1"/>
        <v>-0.20635559131134351</v>
      </c>
      <c r="I106" s="229">
        <f t="shared" si="2"/>
        <v>2959.5</v>
      </c>
      <c r="J106" s="562">
        <f t="shared" si="3"/>
        <v>22689.5</v>
      </c>
      <c r="K106" s="271">
        <v>9100033030416</v>
      </c>
      <c r="M106" s="416">
        <f>+$J106*(1+'Unit tariffs'!$F$2)</f>
        <v>23982.801499999998</v>
      </c>
      <c r="N106" s="417">
        <f>+$M106*(1+'Unit tariffs'!$F$2)</f>
        <v>25349.821185499997</v>
      </c>
    </row>
    <row r="107" spans="1:14" x14ac:dyDescent="0.35">
      <c r="A107" s="269"/>
      <c r="B107" s="221" t="str">
        <f>'Calc Sheet 23_24'!B1367</f>
        <v xml:space="preserve">7.1.9 Upgrade of single phase Peri-Urban connection to three phase -Time of Use Meter(TOU)  </v>
      </c>
      <c r="C107" s="222" t="s">
        <v>297</v>
      </c>
      <c r="D107" s="201">
        <f>'Calc Sheet 23_24'!H1399</f>
        <v>23860</v>
      </c>
      <c r="E107" s="521">
        <v>18810</v>
      </c>
      <c r="F107" s="616">
        <f>'Calc Sheet 23_24'!H1399</f>
        <v>23860</v>
      </c>
      <c r="G107" s="379">
        <f>'Calc Sheet 23_24'!I1399</f>
        <v>16550</v>
      </c>
      <c r="H107" s="228">
        <f t="shared" ref="H107" si="4">(G107-D107)/D107</f>
        <v>-0.30637049455155069</v>
      </c>
      <c r="I107" s="229">
        <f t="shared" si="2"/>
        <v>2482.5</v>
      </c>
      <c r="J107" s="562">
        <f t="shared" si="3"/>
        <v>19032.5</v>
      </c>
      <c r="K107" s="271">
        <v>9100033030416</v>
      </c>
      <c r="M107" s="416">
        <f>+$J107*(1+'Unit tariffs'!$F$2)</f>
        <v>20117.352499999997</v>
      </c>
      <c r="N107" s="417">
        <f>+$M107*(1+'Unit tariffs'!$F$2)</f>
        <v>21264.041592499994</v>
      </c>
    </row>
    <row r="108" spans="1:14" ht="26" x14ac:dyDescent="0.35">
      <c r="A108" s="269"/>
      <c r="B108" s="221" t="str">
        <f>'Calc Sheet 23_24'!B1404</f>
        <v xml:space="preserve">7.1.10 Conversion of single phase Peri-Urban connection to three phase - Split pre-payment meter      </v>
      </c>
      <c r="C108" s="222" t="s">
        <v>297</v>
      </c>
      <c r="D108" s="201">
        <f>'Calc Sheet 23_24'!H1435</f>
        <v>21370</v>
      </c>
      <c r="E108" s="521">
        <v>20540</v>
      </c>
      <c r="F108" s="616">
        <f>'Calc Sheet 23_24'!H1435</f>
        <v>21370</v>
      </c>
      <c r="G108" s="379">
        <f>'Calc Sheet 23_24'!I1435</f>
        <v>15780</v>
      </c>
      <c r="H108" s="228">
        <f>(G108-F108)/F108</f>
        <v>-0.26158165652784277</v>
      </c>
      <c r="I108" s="229">
        <f t="shared" si="2"/>
        <v>2367</v>
      </c>
      <c r="J108" s="562">
        <f t="shared" si="3"/>
        <v>18147</v>
      </c>
      <c r="K108" s="271">
        <v>9100033030416</v>
      </c>
      <c r="M108" s="416">
        <f>+$J108*(1+'Unit tariffs'!$F$2)</f>
        <v>19181.378999999997</v>
      </c>
      <c r="N108" s="417">
        <f>+$M108*(1+'Unit tariffs'!$F$2)</f>
        <v>20274.717602999997</v>
      </c>
    </row>
    <row r="109" spans="1:14" x14ac:dyDescent="0.35">
      <c r="A109" s="269"/>
      <c r="B109" s="221" t="str">
        <f>'Calc Sheet 23_24'!B1440</f>
        <v>8.1.11 Shifting of meter to meter box on stand boundary - Domestic connection - Urban</v>
      </c>
      <c r="C109" s="222" t="s">
        <v>295</v>
      </c>
      <c r="D109" s="201">
        <f>'Calc Sheet 23_24'!H1447</f>
        <v>4980</v>
      </c>
      <c r="E109" s="522">
        <v>2230</v>
      </c>
      <c r="F109" s="616">
        <f>'Calc Sheet 23_24'!H1447</f>
        <v>4980</v>
      </c>
      <c r="G109" s="379">
        <f>'Calc Sheet 23_24'!I1447</f>
        <v>4930</v>
      </c>
      <c r="H109" s="228">
        <f>(G109-F109)/F109</f>
        <v>-1.0040160642570281E-2</v>
      </c>
      <c r="I109" s="229">
        <f t="shared" si="2"/>
        <v>739.5</v>
      </c>
      <c r="J109" s="562">
        <f t="shared" si="3"/>
        <v>5669.5</v>
      </c>
      <c r="K109" s="271">
        <v>9100033030416</v>
      </c>
      <c r="M109" s="416">
        <f>+$J109*(1+'Unit tariffs'!$F$2)</f>
        <v>5992.6614999999993</v>
      </c>
      <c r="N109" s="417">
        <f>+$M109*(1+'Unit tariffs'!$F$2)</f>
        <v>6334.243205499999</v>
      </c>
    </row>
    <row r="110" spans="1:14" ht="26" x14ac:dyDescent="0.35">
      <c r="A110" s="269"/>
      <c r="B110" s="221" t="str">
        <f>'Calc Sheet 23_24'!B1452</f>
        <v>8.1.12 Shifting of connection - Pre-payment with ready board (per single connection) - Overhead only</v>
      </c>
      <c r="C110" s="222"/>
      <c r="D110" s="201">
        <f>'Calc Sheet 23_24'!H1476</f>
        <v>2760</v>
      </c>
      <c r="E110" s="521">
        <v>1840</v>
      </c>
      <c r="F110" s="616">
        <f>'Calc Sheet 23_24'!H1476</f>
        <v>2760</v>
      </c>
      <c r="G110" s="379">
        <f>'Calc Sheet 23_24'!I1476</f>
        <v>3440</v>
      </c>
      <c r="H110" s="228">
        <f>(G110-F110)/F110</f>
        <v>0.24637681159420291</v>
      </c>
      <c r="I110" s="229">
        <f t="shared" si="2"/>
        <v>516</v>
      </c>
      <c r="J110" s="562">
        <f t="shared" si="3"/>
        <v>3956</v>
      </c>
      <c r="K110" s="271">
        <v>9100033030416</v>
      </c>
      <c r="M110" s="416">
        <f>+$J110*(1+'Unit tariffs'!$F$2)</f>
        <v>4181.4920000000002</v>
      </c>
      <c r="N110" s="417">
        <f>+$M110*(1+'Unit tariffs'!$F$2)</f>
        <v>4419.8370439999999</v>
      </c>
    </row>
    <row r="111" spans="1:14" x14ac:dyDescent="0.35">
      <c r="A111" s="269"/>
      <c r="B111" s="221" t="s">
        <v>1</v>
      </c>
      <c r="C111" s="222"/>
      <c r="D111" s="218" t="s">
        <v>1</v>
      </c>
      <c r="E111" s="520"/>
      <c r="F111" s="616" t="s">
        <v>1</v>
      </c>
      <c r="G111" s="220" t="s">
        <v>1</v>
      </c>
      <c r="H111" s="242" t="s">
        <v>1</v>
      </c>
      <c r="I111" s="230"/>
      <c r="J111" s="224"/>
      <c r="K111" s="272" t="s">
        <v>81</v>
      </c>
      <c r="M111" s="408"/>
      <c r="N111" s="409"/>
    </row>
    <row r="112" spans="1:14" ht="21" customHeight="1" x14ac:dyDescent="0.35">
      <c r="A112" s="286"/>
      <c r="B112" s="287" t="str">
        <f>'Calc Sheet 23_24'!B1481</f>
        <v>9. SPECIAL SERVICE LEVIES</v>
      </c>
      <c r="C112" s="288"/>
      <c r="D112" s="305"/>
      <c r="E112" s="518"/>
      <c r="F112" s="616"/>
      <c r="G112" s="292"/>
      <c r="H112" s="290"/>
      <c r="I112" s="291"/>
      <c r="J112" s="560"/>
      <c r="K112" s="310"/>
      <c r="M112" s="412"/>
      <c r="N112" s="413"/>
    </row>
    <row r="113" spans="1:14" x14ac:dyDescent="0.35">
      <c r="A113" s="269"/>
      <c r="B113" s="221" t="s">
        <v>1</v>
      </c>
      <c r="C113" s="222"/>
      <c r="D113" s="218"/>
      <c r="E113" s="520"/>
      <c r="F113" s="616"/>
      <c r="G113" s="220"/>
      <c r="H113" s="219"/>
      <c r="I113" s="216"/>
      <c r="J113" s="561"/>
      <c r="K113" s="270"/>
      <c r="M113" s="414"/>
      <c r="N113" s="415"/>
    </row>
    <row r="114" spans="1:14" x14ac:dyDescent="0.35">
      <c r="A114" s="269"/>
      <c r="B114" s="221" t="str">
        <f>'Calc Sheet 23_24'!B1483</f>
        <v>9.1.1 Electricity meter accuracy test at request by the consumer - Removal of meter</v>
      </c>
      <c r="C114" s="222"/>
      <c r="D114" s="201">
        <f>'Calc Sheet 23_24'!H1505</f>
        <v>1400</v>
      </c>
      <c r="E114" s="521">
        <v>390</v>
      </c>
      <c r="F114" s="616">
        <f>'Calc Sheet 23_24'!H1505</f>
        <v>1400</v>
      </c>
      <c r="G114" s="379">
        <f>'Calc Sheet 23_24'!I1505</f>
        <v>1590</v>
      </c>
      <c r="H114" s="228">
        <f>(G114-F114)/F114</f>
        <v>0.1357142857142857</v>
      </c>
      <c r="I114" s="229">
        <f>G114*I$3</f>
        <v>238.5</v>
      </c>
      <c r="J114" s="562">
        <f>G114+I114</f>
        <v>1828.5</v>
      </c>
      <c r="K114" s="271">
        <v>9100033030416</v>
      </c>
      <c r="M114" s="416">
        <v>6846.3612000000003</v>
      </c>
      <c r="N114" s="417">
        <f>+$M114*(1+'Unit tariffs'!$F$2)</f>
        <v>7236.6037883999998</v>
      </c>
    </row>
    <row r="115" spans="1:14" x14ac:dyDescent="0.35">
      <c r="A115" s="269"/>
      <c r="B115" s="221" t="str">
        <f>'Calc Sheet 23_24'!B1485</f>
        <v xml:space="preserve">       Meter to be removed by supplier for testing. Testing of the meter under item 9.1.2 or 9.1.3</v>
      </c>
      <c r="C115" s="222"/>
      <c r="D115" s="201"/>
      <c r="E115" s="521"/>
      <c r="F115" s="616"/>
      <c r="G115" s="379"/>
      <c r="H115" s="242" t="s">
        <v>1</v>
      </c>
      <c r="I115" s="230"/>
      <c r="J115" s="224"/>
      <c r="K115" s="272"/>
      <c r="M115" s="408"/>
      <c r="N115" s="409"/>
    </row>
    <row r="116" spans="1:14" x14ac:dyDescent="0.35">
      <c r="A116" s="269"/>
      <c r="B116" s="221" t="str">
        <f>'Calc Sheet 23_24'!B1510</f>
        <v>9.1.2 Request for accuracy test of electricity meter - Testing of meter (1 or 3 phase)</v>
      </c>
      <c r="C116" s="222"/>
      <c r="D116" s="201">
        <f>'Calc Sheet 23_24'!H1527</f>
        <v>311</v>
      </c>
      <c r="E116" s="522">
        <v>140</v>
      </c>
      <c r="F116" s="616">
        <f>'Calc Sheet 23_24'!H1527</f>
        <v>311</v>
      </c>
      <c r="G116" s="379">
        <f>'Calc Sheet 23_24'!I1527</f>
        <v>338</v>
      </c>
      <c r="H116" s="228">
        <f>(G116-F116)/F116</f>
        <v>8.6816720257234734E-2</v>
      </c>
      <c r="I116" s="229">
        <f>G116*I$3</f>
        <v>50.699999999999996</v>
      </c>
      <c r="J116" s="562">
        <f>G116+I116</f>
        <v>388.7</v>
      </c>
      <c r="K116" s="271">
        <v>9100033030416</v>
      </c>
      <c r="M116" s="416">
        <f>+$J116*(1+'Unit tariffs'!$F$2)</f>
        <v>410.85589999999996</v>
      </c>
      <c r="N116" s="417">
        <f>+$M116*(1+'Unit tariffs'!$F$2)</f>
        <v>434.27468629999993</v>
      </c>
    </row>
    <row r="117" spans="1:14" x14ac:dyDescent="0.35">
      <c r="A117" s="269"/>
      <c r="B117" s="221" t="str">
        <f>'Calc Sheet 23_24'!B1512</f>
        <v xml:space="preserve">      Meter to be removed under item 9.1.1</v>
      </c>
      <c r="C117" s="222"/>
      <c r="D117" s="201"/>
      <c r="E117" s="521"/>
      <c r="F117" s="616"/>
      <c r="G117" s="379"/>
      <c r="H117" s="242" t="s">
        <v>1</v>
      </c>
      <c r="I117" s="230"/>
      <c r="J117" s="224"/>
      <c r="K117" s="272"/>
      <c r="M117" s="408"/>
      <c r="N117" s="409"/>
    </row>
    <row r="118" spans="1:14" x14ac:dyDescent="0.35">
      <c r="A118" s="269"/>
      <c r="B118" s="221" t="str">
        <f>'Calc Sheet 23_24'!B1534</f>
        <v>9.1.3 Request for accuracy test of Bulk electricity meter - Testing of meter</v>
      </c>
      <c r="C118" s="222"/>
      <c r="D118" s="201">
        <f>'Calc Sheet 23_24'!H1551</f>
        <v>1170</v>
      </c>
      <c r="E118" s="522">
        <v>515</v>
      </c>
      <c r="F118" s="616">
        <f>'Calc Sheet 23_24'!H1551</f>
        <v>1170</v>
      </c>
      <c r="G118" s="379">
        <f>'Calc Sheet 23_24'!I1551</f>
        <v>1350</v>
      </c>
      <c r="H118" s="228">
        <f>(G118-F118)/F118</f>
        <v>0.15384615384615385</v>
      </c>
      <c r="I118" s="229">
        <f>G118*I$3</f>
        <v>202.5</v>
      </c>
      <c r="J118" s="562">
        <f>G118+I118</f>
        <v>1552.5</v>
      </c>
      <c r="K118" s="271">
        <v>9100033030416</v>
      </c>
      <c r="M118" s="416">
        <f>+$J118*(1+'Unit tariffs'!$F$2)</f>
        <v>1640.9924999999998</v>
      </c>
      <c r="N118" s="417">
        <f>+$M118*(1+'Unit tariffs'!$F$2)</f>
        <v>1734.5290724999998</v>
      </c>
    </row>
    <row r="119" spans="1:14" x14ac:dyDescent="0.35">
      <c r="A119" s="269"/>
      <c r="B119" s="221" t="str">
        <f>'Calc Sheet 23_24'!B1536</f>
        <v xml:space="preserve">      Meter to be removed under item 9.1.1</v>
      </c>
      <c r="C119" s="222"/>
      <c r="D119" s="201"/>
      <c r="E119" s="521"/>
      <c r="F119" s="616"/>
      <c r="G119" s="379"/>
      <c r="H119" s="242"/>
      <c r="I119" s="230"/>
      <c r="J119" s="224"/>
      <c r="K119" s="272"/>
      <c r="M119" s="408"/>
      <c r="N119" s="409"/>
    </row>
    <row r="120" spans="1:14" ht="33" customHeight="1" x14ac:dyDescent="0.35">
      <c r="A120" s="269"/>
      <c r="B120" s="221" t="str">
        <f>'Calc Sheet 23_24'!B1558</f>
        <v>MATERIAL (None)</v>
      </c>
      <c r="C120" s="222"/>
      <c r="D120" s="201">
        <f>'Calc Sheet 23_24'!H1574</f>
        <v>14740</v>
      </c>
      <c r="E120" s="521">
        <v>5855</v>
      </c>
      <c r="F120" s="616">
        <f>'Calc Sheet 23_24'!H1574</f>
        <v>14740</v>
      </c>
      <c r="G120" s="379">
        <f>'Calc Sheet 23_24'!I1574</f>
        <v>16380</v>
      </c>
      <c r="H120" s="228">
        <f t="shared" ref="H120:H128" si="5">(G120-F120)/F120</f>
        <v>0.1112618724559023</v>
      </c>
      <c r="I120" s="229">
        <f>G120*I$3</f>
        <v>2457</v>
      </c>
      <c r="J120" s="562">
        <f>G120+I120</f>
        <v>18837</v>
      </c>
      <c r="K120" s="271">
        <v>9100033030416</v>
      </c>
      <c r="M120" s="416">
        <f>+$J120*(1+'Unit tariffs'!$F$2)</f>
        <v>19910.708999999999</v>
      </c>
      <c r="N120" s="417">
        <f>+$M120*(1+'Unit tariffs'!$F$2)</f>
        <v>21045.619412999997</v>
      </c>
    </row>
    <row r="121" spans="1:14" ht="29.25" customHeight="1" x14ac:dyDescent="0.35">
      <c r="A121" s="269"/>
      <c r="B121" s="514" t="s">
        <v>398</v>
      </c>
      <c r="C121" s="253"/>
      <c r="D121" s="201">
        <v>4943.7299999999996</v>
      </c>
      <c r="E121" s="521"/>
      <c r="F121" s="616">
        <f>+'Calc Sheet 23_24'!H1591</f>
        <v>6200</v>
      </c>
      <c r="G121" s="379">
        <f>+'Calc Sheet 23_24'!I1591</f>
        <v>6200</v>
      </c>
      <c r="H121" s="228">
        <f t="shared" si="5"/>
        <v>0</v>
      </c>
      <c r="I121" s="229"/>
      <c r="J121" s="562"/>
      <c r="K121" s="271"/>
      <c r="M121" s="416"/>
      <c r="N121" s="417"/>
    </row>
    <row r="122" spans="1:14" ht="33" customHeight="1" x14ac:dyDescent="0.35">
      <c r="A122" s="269"/>
      <c r="B122" s="514" t="s">
        <v>397</v>
      </c>
      <c r="C122" s="222"/>
      <c r="D122" s="201">
        <v>0</v>
      </c>
      <c r="E122" s="521"/>
      <c r="F122" s="616">
        <f>+'Calc Sheet 23_24'!H1607</f>
        <v>9200</v>
      </c>
      <c r="G122" s="379">
        <f>+'Calc Sheet 23_24'!I1607</f>
        <v>9200</v>
      </c>
      <c r="H122" s="228">
        <f t="shared" si="5"/>
        <v>0</v>
      </c>
      <c r="I122" s="229"/>
      <c r="J122" s="562"/>
      <c r="K122" s="271"/>
      <c r="M122" s="416"/>
      <c r="N122" s="417"/>
    </row>
    <row r="123" spans="1:14" ht="38.5" x14ac:dyDescent="0.35">
      <c r="A123" s="269"/>
      <c r="B123" s="221" t="str">
        <f>'Calc Sheet 23_24'!B1614</f>
        <v xml:space="preserve">9.7 Reinstatement of supply following disconnection of Std 3 phase service -  Where meter was damaged or persistant tampering occurred (RMD 3 Ph) - Replaced with 100A Time of Use meter (TOU) </v>
      </c>
      <c r="C123" s="222"/>
      <c r="D123" s="201">
        <f>'Calc Sheet 23_24'!H1638</f>
        <v>12560</v>
      </c>
      <c r="E123" s="521">
        <v>10470</v>
      </c>
      <c r="F123" s="616">
        <f>'Calc Sheet 23_24'!H1638</f>
        <v>12560</v>
      </c>
      <c r="G123" s="379">
        <f>'Calc Sheet 23_24'!I1638</f>
        <v>7260</v>
      </c>
      <c r="H123" s="228">
        <f t="shared" si="5"/>
        <v>-0.42197452229299365</v>
      </c>
      <c r="I123" s="229">
        <f>G123*I$3</f>
        <v>1089</v>
      </c>
      <c r="J123" s="562">
        <f>G123+I123</f>
        <v>8349</v>
      </c>
      <c r="K123" s="271">
        <v>9100033030416</v>
      </c>
      <c r="M123" s="416">
        <f>+$J123*(1+'Unit tariffs'!$F$2)</f>
        <v>8824.893</v>
      </c>
      <c r="N123" s="417">
        <f>+$M123*(1+'Unit tariffs'!$F$2)</f>
        <v>9327.9119009999995</v>
      </c>
    </row>
    <row r="124" spans="1:14" ht="29.25" customHeight="1" x14ac:dyDescent="0.35">
      <c r="A124" s="269"/>
      <c r="B124" s="514" t="s">
        <v>399</v>
      </c>
      <c r="C124" s="222"/>
      <c r="D124" s="201">
        <v>0</v>
      </c>
      <c r="E124" s="521"/>
      <c r="F124" s="616">
        <f>+'Calc Sheet 23_24'!H1655</f>
        <v>15400</v>
      </c>
      <c r="G124" s="379">
        <f>+'Calc Sheet 23_24'!I1655</f>
        <v>15400</v>
      </c>
      <c r="H124" s="228">
        <f t="shared" si="5"/>
        <v>0</v>
      </c>
      <c r="I124" s="229"/>
      <c r="J124" s="562"/>
      <c r="K124" s="271"/>
      <c r="M124" s="416"/>
      <c r="N124" s="417"/>
    </row>
    <row r="125" spans="1:14" ht="33" customHeight="1" x14ac:dyDescent="0.35">
      <c r="A125" s="269"/>
      <c r="B125" s="514" t="s">
        <v>400</v>
      </c>
      <c r="C125" s="222"/>
      <c r="D125" s="201">
        <v>0</v>
      </c>
      <c r="E125" s="521"/>
      <c r="F125" s="616">
        <f>+'Calc Sheet 23_24'!H1673</f>
        <v>30800</v>
      </c>
      <c r="G125" s="379">
        <f>+'Calc Sheet 23_24'!I1673</f>
        <v>30800</v>
      </c>
      <c r="H125" s="228">
        <f t="shared" si="5"/>
        <v>0</v>
      </c>
      <c r="I125" s="229"/>
      <c r="J125" s="562"/>
      <c r="K125" s="271"/>
      <c r="M125" s="416"/>
      <c r="N125" s="417"/>
    </row>
    <row r="126" spans="1:14" ht="30.75" customHeight="1" x14ac:dyDescent="0.35">
      <c r="A126" s="269"/>
      <c r="B126" s="221" t="str">
        <f>'Calc Sheet 23_24'!B1708</f>
        <v>9.9 Reinstatement of supply following disconnection of service by CENTLEC - 1Phase pre-payment meter damaged or persistent tampering (PPD)</v>
      </c>
      <c r="C126" s="222"/>
      <c r="D126" s="201">
        <f>+'Calc Sheet 23_24'!H1731</f>
        <v>7830</v>
      </c>
      <c r="E126" s="521">
        <v>5990</v>
      </c>
      <c r="F126" s="616">
        <f>+'Calc Sheet 23_24'!H1731</f>
        <v>7830</v>
      </c>
      <c r="G126" s="379">
        <f>+'Calc Sheet 23_24'!I1731</f>
        <v>7340</v>
      </c>
      <c r="H126" s="228">
        <f t="shared" si="5"/>
        <v>-6.2579821200510852E-2</v>
      </c>
      <c r="I126" s="229">
        <f>G126*I$3</f>
        <v>1101</v>
      </c>
      <c r="J126" s="562">
        <f>G126+I126</f>
        <v>8441</v>
      </c>
      <c r="K126" s="271">
        <v>9100033030416</v>
      </c>
      <c r="M126" s="416">
        <f>+$J126*(1+'Unit tariffs'!$F$2)</f>
        <v>8922.1369999999988</v>
      </c>
      <c r="N126" s="417">
        <f>+$M126*(1+'Unit tariffs'!$F$2)</f>
        <v>9430.6988089999977</v>
      </c>
    </row>
    <row r="127" spans="1:14" ht="29.25" customHeight="1" x14ac:dyDescent="0.35">
      <c r="A127" s="269"/>
      <c r="B127" s="514" t="s">
        <v>401</v>
      </c>
      <c r="C127" s="222"/>
      <c r="D127" s="201">
        <v>4943.7299999999996</v>
      </c>
      <c r="E127" s="521"/>
      <c r="F127" s="616">
        <f>+'Calc Sheet 23_24'!H1749</f>
        <v>6200</v>
      </c>
      <c r="G127" s="379">
        <f>+'Calc Sheet 23_24'!I1749</f>
        <v>6200</v>
      </c>
      <c r="H127" s="228">
        <f t="shared" si="5"/>
        <v>0</v>
      </c>
      <c r="I127" s="229"/>
      <c r="J127" s="562"/>
      <c r="K127" s="271"/>
      <c r="M127" s="416"/>
      <c r="N127" s="417"/>
    </row>
    <row r="128" spans="1:14" ht="33" customHeight="1" x14ac:dyDescent="0.35">
      <c r="A128" s="269"/>
      <c r="B128" s="514" t="s">
        <v>402</v>
      </c>
      <c r="C128" s="222"/>
      <c r="D128" s="201">
        <v>0</v>
      </c>
      <c r="E128" s="521"/>
      <c r="F128" s="616">
        <f>+'Calc Sheet 23_24'!H1766</f>
        <v>9200</v>
      </c>
      <c r="G128" s="379">
        <f>+'Calc Sheet 23_24'!I1766</f>
        <v>9200</v>
      </c>
      <c r="H128" s="228">
        <f t="shared" si="5"/>
        <v>0</v>
      </c>
      <c r="I128" s="229"/>
      <c r="J128" s="562"/>
      <c r="K128" s="271"/>
      <c r="M128" s="416"/>
      <c r="N128" s="417"/>
    </row>
    <row r="129" spans="1:14" ht="14" customHeight="1" thickBot="1" x14ac:dyDescent="0.4">
      <c r="A129" s="364"/>
      <c r="B129" s="278"/>
      <c r="C129" s="279"/>
      <c r="D129" s="360"/>
      <c r="E129" s="536"/>
      <c r="F129" s="616"/>
      <c r="G129" s="386"/>
      <c r="H129" s="361"/>
      <c r="I129" s="362"/>
      <c r="J129" s="568"/>
      <c r="K129" s="363"/>
      <c r="M129" s="426"/>
      <c r="N129" s="427"/>
    </row>
    <row r="130" spans="1:14" ht="15.5" x14ac:dyDescent="0.35">
      <c r="A130" s="261"/>
      <c r="B130" s="262" t="str">
        <f>B1</f>
        <v>CENTLEC : ELECTRICITY SERVICES COSTS FOR MANTSOPA MUNIC</v>
      </c>
      <c r="C130" s="374"/>
      <c r="D130" s="368" t="s">
        <v>74</v>
      </c>
      <c r="E130" s="529"/>
      <c r="F130" s="668" t="s">
        <v>74</v>
      </c>
      <c r="G130" s="370" t="s">
        <v>74</v>
      </c>
      <c r="H130" s="369" t="s">
        <v>85</v>
      </c>
      <c r="I130" s="52" t="s">
        <v>441</v>
      </c>
      <c r="J130" s="370" t="s">
        <v>138</v>
      </c>
      <c r="K130" s="371" t="s">
        <v>75</v>
      </c>
      <c r="M130" s="669" t="s">
        <v>138</v>
      </c>
      <c r="N130" s="670" t="s">
        <v>138</v>
      </c>
    </row>
    <row r="131" spans="1:14" x14ac:dyDescent="0.35">
      <c r="A131" s="269"/>
      <c r="B131" s="227"/>
      <c r="C131" s="226"/>
      <c r="D131" s="328" t="s">
        <v>77</v>
      </c>
      <c r="E131" s="516"/>
      <c r="F131" s="668" t="s">
        <v>77</v>
      </c>
      <c r="G131" s="224" t="s">
        <v>77</v>
      </c>
      <c r="H131" s="327" t="s">
        <v>86</v>
      </c>
      <c r="I131" s="643">
        <f>+'Unit tariffs'!F$3</f>
        <v>0.15</v>
      </c>
      <c r="J131" s="224" t="s">
        <v>139</v>
      </c>
      <c r="K131" s="325" t="s">
        <v>78</v>
      </c>
      <c r="M131" s="666" t="s">
        <v>139</v>
      </c>
      <c r="N131" s="667" t="s">
        <v>139</v>
      </c>
    </row>
    <row r="132" spans="1:14" x14ac:dyDescent="0.35">
      <c r="A132" s="269"/>
      <c r="B132" s="227"/>
      <c r="C132" s="226"/>
      <c r="D132" s="328" t="str">
        <f>D$4</f>
        <v>2016/2017</v>
      </c>
      <c r="E132" s="516"/>
      <c r="F132" s="665" t="str">
        <f>'Calc Sheet 23_24'!$H$11</f>
        <v>2025/2026</v>
      </c>
      <c r="G132" s="224" t="str">
        <f>'Calc Sheet 23_24'!$I$11</f>
        <v>2026/2027</v>
      </c>
      <c r="H132" s="327" t="str">
        <f>G132</f>
        <v>2026/2027</v>
      </c>
      <c r="I132" s="52" t="str">
        <f>G132</f>
        <v>2026/2027</v>
      </c>
      <c r="J132" s="224" t="str">
        <f>I132</f>
        <v>2026/2027</v>
      </c>
      <c r="K132" s="325" t="s">
        <v>79</v>
      </c>
      <c r="M132" s="666" t="s">
        <v>431</v>
      </c>
      <c r="N132" s="667" t="s">
        <v>451</v>
      </c>
    </row>
    <row r="133" spans="1:14" ht="16" thickBot="1" x14ac:dyDescent="0.4">
      <c r="A133" s="293"/>
      <c r="B133" s="337" t="s">
        <v>105</v>
      </c>
      <c r="C133" s="295"/>
      <c r="D133" s="331" t="s">
        <v>80</v>
      </c>
      <c r="E133" s="517"/>
      <c r="F133" s="668" t="s">
        <v>80</v>
      </c>
      <c r="G133" s="334" t="s">
        <v>80</v>
      </c>
      <c r="H133" s="332"/>
      <c r="I133" s="333"/>
      <c r="J133" s="334"/>
      <c r="K133" s="335"/>
      <c r="M133" s="410"/>
      <c r="N133" s="411"/>
    </row>
    <row r="134" spans="1:14" ht="26.5" thickTop="1" x14ac:dyDescent="0.35">
      <c r="A134" s="269"/>
      <c r="B134" s="514" t="s">
        <v>366</v>
      </c>
      <c r="C134" s="222"/>
      <c r="D134" s="201">
        <f>+'Calc Sheet 23_24'!H1796</f>
        <v>14610</v>
      </c>
      <c r="E134" s="521">
        <v>11360</v>
      </c>
      <c r="F134" s="616">
        <f>+'Calc Sheet 23_24'!H1796</f>
        <v>14610</v>
      </c>
      <c r="G134" s="379">
        <f>+'Calc Sheet 23_24'!I1796</f>
        <v>5680</v>
      </c>
      <c r="H134" s="228">
        <f t="shared" ref="H134:H147" si="6">IF( G134&lt;0.01,"0",(G134-D134)/D134)</f>
        <v>-0.61122518822724159</v>
      </c>
      <c r="I134" s="229">
        <f>G134*I$3</f>
        <v>852</v>
      </c>
      <c r="J134" s="562">
        <f t="shared" ref="J134:J149" si="7">G134+I134</f>
        <v>6532</v>
      </c>
      <c r="K134" s="271">
        <v>9100033030416</v>
      </c>
      <c r="M134" s="416">
        <f>+$J134*(1+'Unit tariffs'!$F$2)</f>
        <v>6904.3239999999996</v>
      </c>
      <c r="N134" s="417">
        <f>+$M134*(1+'Unit tariffs'!$F$2)</f>
        <v>7297.8704679999992</v>
      </c>
    </row>
    <row r="135" spans="1:14" ht="29.25" customHeight="1" x14ac:dyDescent="0.35">
      <c r="A135" s="269"/>
      <c r="B135" s="514" t="s">
        <v>410</v>
      </c>
      <c r="C135" s="222"/>
      <c r="D135" s="201">
        <v>0</v>
      </c>
      <c r="E135" s="521"/>
      <c r="F135" s="616">
        <f>+'Calc Sheet 23_24'!H1813</f>
        <v>15400</v>
      </c>
      <c r="G135" s="379">
        <f>+'Calc Sheet 23_24'!I1813</f>
        <v>15400</v>
      </c>
      <c r="H135" s="228">
        <f t="shared" ref="H135:H146" si="8">(G135-F135)/F135</f>
        <v>0</v>
      </c>
      <c r="I135" s="229"/>
      <c r="J135" s="562"/>
      <c r="K135" s="271"/>
      <c r="M135" s="416"/>
      <c r="N135" s="417"/>
    </row>
    <row r="136" spans="1:14" ht="33" customHeight="1" x14ac:dyDescent="0.35">
      <c r="A136" s="269"/>
      <c r="B136" s="514" t="s">
        <v>411</v>
      </c>
      <c r="C136" s="222"/>
      <c r="D136" s="201">
        <v>0</v>
      </c>
      <c r="E136" s="521"/>
      <c r="F136" s="616">
        <f>+'Calc Sheet 23_24'!H1830</f>
        <v>30800</v>
      </c>
      <c r="G136" s="379">
        <f>+'Calc Sheet 23_24'!I1830</f>
        <v>30800</v>
      </c>
      <c r="H136" s="228">
        <f t="shared" si="8"/>
        <v>0</v>
      </c>
      <c r="I136" s="229"/>
      <c r="J136" s="562"/>
      <c r="K136" s="271"/>
      <c r="M136" s="416"/>
      <c r="N136" s="417"/>
    </row>
    <row r="137" spans="1:14" ht="18.75" customHeight="1" x14ac:dyDescent="0.35">
      <c r="A137" s="269"/>
      <c r="B137" s="514" t="s">
        <v>430</v>
      </c>
      <c r="C137" s="222"/>
      <c r="D137" s="201">
        <f>+'Calc Sheet 23_24'!H1858</f>
        <v>984</v>
      </c>
      <c r="E137" s="522">
        <v>240</v>
      </c>
      <c r="F137" s="616">
        <f>+'Calc Sheet 23_24'!H1858</f>
        <v>984</v>
      </c>
      <c r="G137" s="379">
        <f>+'Calc Sheet 23_24'!I1858</f>
        <v>1140</v>
      </c>
      <c r="H137" s="228">
        <f t="shared" si="8"/>
        <v>0.15853658536585366</v>
      </c>
      <c r="I137" s="229">
        <f t="shared" ref="I137:I150" si="9">G137*I$3</f>
        <v>171</v>
      </c>
      <c r="J137" s="562">
        <f t="shared" si="7"/>
        <v>1311</v>
      </c>
      <c r="K137" s="271">
        <v>9100033030416</v>
      </c>
      <c r="M137" s="416">
        <f>+$J137*(1+'Unit tariffs'!$F$2)</f>
        <v>1385.7269999999999</v>
      </c>
      <c r="N137" s="417">
        <f>+$M137*(1+'Unit tariffs'!$F$2)</f>
        <v>1464.7134389999999</v>
      </c>
    </row>
    <row r="138" spans="1:14" ht="26" x14ac:dyDescent="0.35">
      <c r="A138" s="269"/>
      <c r="B138" s="221" t="str">
        <f>+'Calc Sheet 23_24'!B1865:G1865</f>
        <v>9.12 Reinstatement of supply by CENTLEC - Where supplied from overhead transmission systems or a substation</v>
      </c>
      <c r="C138" s="222"/>
      <c r="D138" s="201">
        <f>+'Calc Sheet 23_24'!H1887</f>
        <v>1830</v>
      </c>
      <c r="E138" s="521">
        <v>1330</v>
      </c>
      <c r="F138" s="616">
        <f>+'Calc Sheet 23_24'!H1887</f>
        <v>1830</v>
      </c>
      <c r="G138" s="379">
        <f>+'Calc Sheet 23_24'!I1887</f>
        <v>2110</v>
      </c>
      <c r="H138" s="228">
        <f t="shared" si="8"/>
        <v>0.15300546448087432</v>
      </c>
      <c r="I138" s="229">
        <f t="shared" si="9"/>
        <v>316.5</v>
      </c>
      <c r="J138" s="562">
        <f t="shared" si="7"/>
        <v>2426.5</v>
      </c>
      <c r="K138" s="271">
        <v>9100033030416</v>
      </c>
      <c r="M138" s="416">
        <f>+$J138*(1+'Unit tariffs'!$F$2)</f>
        <v>2564.8105</v>
      </c>
      <c r="N138" s="417">
        <f>+$M138*(1+'Unit tariffs'!$F$2)</f>
        <v>2711.0046984999999</v>
      </c>
    </row>
    <row r="139" spans="1:14" ht="26" x14ac:dyDescent="0.35">
      <c r="A139" s="269"/>
      <c r="B139" s="514" t="s">
        <v>367</v>
      </c>
      <c r="C139" s="222"/>
      <c r="D139" s="201">
        <f>+'Calc Sheet 23_24'!H1918</f>
        <v>2420</v>
      </c>
      <c r="E139" s="522">
        <v>1170</v>
      </c>
      <c r="F139" s="616">
        <f>+'Calc Sheet 23_24'!H1918</f>
        <v>2420</v>
      </c>
      <c r="G139" s="379">
        <f>+'Calc Sheet 23_24'!I1918</f>
        <v>2730</v>
      </c>
      <c r="H139" s="244">
        <f t="shared" si="8"/>
        <v>0.128099173553719</v>
      </c>
      <c r="I139" s="229">
        <f t="shared" si="9"/>
        <v>409.5</v>
      </c>
      <c r="J139" s="562">
        <f t="shared" si="7"/>
        <v>3139.5</v>
      </c>
      <c r="K139" s="271">
        <v>9100033030416</v>
      </c>
      <c r="M139" s="416">
        <f>+$J139*(1+'Unit tariffs'!$F$2)</f>
        <v>3318.4514999999997</v>
      </c>
      <c r="N139" s="417">
        <f>+$M139*(1+'Unit tariffs'!$F$2)</f>
        <v>3507.6032354999993</v>
      </c>
    </row>
    <row r="140" spans="1:14" ht="26" x14ac:dyDescent="0.35">
      <c r="A140" s="269"/>
      <c r="B140" s="514" t="s">
        <v>368</v>
      </c>
      <c r="C140" s="222"/>
      <c r="D140" s="201">
        <f>+'Calc Sheet 23_24'!H1949</f>
        <v>2420</v>
      </c>
      <c r="E140" s="522">
        <v>1295</v>
      </c>
      <c r="F140" s="616">
        <f>+'Calc Sheet 23_24'!H1949</f>
        <v>2420</v>
      </c>
      <c r="G140" s="379">
        <f>+'Calc Sheet 23_24'!I1949</f>
        <v>2730</v>
      </c>
      <c r="H140" s="228">
        <f t="shared" si="8"/>
        <v>0.128099173553719</v>
      </c>
      <c r="I140" s="229">
        <f t="shared" si="9"/>
        <v>409.5</v>
      </c>
      <c r="J140" s="562">
        <f t="shared" si="7"/>
        <v>3139.5</v>
      </c>
      <c r="K140" s="271">
        <v>9100033030416</v>
      </c>
      <c r="M140" s="416">
        <f>+$J140*(1+'Unit tariffs'!$F$2)</f>
        <v>3318.4514999999997</v>
      </c>
      <c r="N140" s="417">
        <f>+$M140*(1+'Unit tariffs'!$F$2)</f>
        <v>3507.6032354999993</v>
      </c>
    </row>
    <row r="141" spans="1:14" x14ac:dyDescent="0.35">
      <c r="A141" s="269"/>
      <c r="B141" s="221" t="s">
        <v>135</v>
      </c>
      <c r="C141" s="222"/>
      <c r="D141" s="201">
        <f>'Calc Sheet 23_24'!H1981</f>
        <v>4470</v>
      </c>
      <c r="E141" s="521">
        <v>3210</v>
      </c>
      <c r="F141" s="616">
        <f>'Calc Sheet 23_24'!H1981</f>
        <v>4470</v>
      </c>
      <c r="G141" s="379">
        <f>'Calc Sheet 23_24'!I1981</f>
        <v>3540</v>
      </c>
      <c r="H141" s="228">
        <f t="shared" si="8"/>
        <v>-0.20805369127516779</v>
      </c>
      <c r="I141" s="229">
        <f t="shared" si="9"/>
        <v>531</v>
      </c>
      <c r="J141" s="562">
        <f t="shared" si="7"/>
        <v>4071</v>
      </c>
      <c r="K141" s="271">
        <v>9100033030416</v>
      </c>
      <c r="M141" s="416">
        <f>+$J141*(1+'Unit tariffs'!$F$2)</f>
        <v>4303.0469999999996</v>
      </c>
      <c r="N141" s="417">
        <f>+$M141*(1+'Unit tariffs'!$F$2)</f>
        <v>4548.3206789999995</v>
      </c>
    </row>
    <row r="142" spans="1:14" x14ac:dyDescent="0.35">
      <c r="A142" s="269"/>
      <c r="B142" s="221" t="s">
        <v>136</v>
      </c>
      <c r="C142" s="222"/>
      <c r="D142" s="201">
        <f>+'Calc Sheet 23_24'!H2013</f>
        <v>10520</v>
      </c>
      <c r="E142" s="521">
        <v>9025</v>
      </c>
      <c r="F142" s="616">
        <f>+'Calc Sheet 23_24'!H2013</f>
        <v>10520</v>
      </c>
      <c r="G142" s="379">
        <f>+'Calc Sheet 23_24'!I2013</f>
        <v>2760</v>
      </c>
      <c r="H142" s="228">
        <f t="shared" si="8"/>
        <v>-0.73764258555133078</v>
      </c>
      <c r="I142" s="229">
        <f t="shared" si="9"/>
        <v>414</v>
      </c>
      <c r="J142" s="562">
        <f t="shared" si="7"/>
        <v>3174</v>
      </c>
      <c r="K142" s="271">
        <v>9100033030416</v>
      </c>
      <c r="M142" s="416">
        <f>+$J142*(1+'Unit tariffs'!$F$2)</f>
        <v>3354.9179999999997</v>
      </c>
      <c r="N142" s="417">
        <f>+$M142*(1+'Unit tariffs'!$F$2)</f>
        <v>3546.1483259999995</v>
      </c>
    </row>
    <row r="143" spans="1:14" ht="26" x14ac:dyDescent="0.35">
      <c r="A143" s="269"/>
      <c r="B143" s="514" t="s">
        <v>403</v>
      </c>
      <c r="C143" s="222"/>
      <c r="D143" s="201">
        <f>+'Calc Sheet 23_24'!H1731</f>
        <v>7830</v>
      </c>
      <c r="E143" s="521">
        <v>5990</v>
      </c>
      <c r="F143" s="616">
        <f>+'Calc Sheet 23_24'!H1731</f>
        <v>7830</v>
      </c>
      <c r="G143" s="379">
        <f>+'Calc Sheet 23_24'!I1731</f>
        <v>7340</v>
      </c>
      <c r="H143" s="244">
        <f t="shared" si="8"/>
        <v>-6.2579821200510852E-2</v>
      </c>
      <c r="I143" s="229">
        <f t="shared" si="9"/>
        <v>1101</v>
      </c>
      <c r="J143" s="562">
        <f>G143+I143</f>
        <v>8441</v>
      </c>
      <c r="K143" s="271">
        <v>9100033030416</v>
      </c>
      <c r="M143" s="416">
        <f>+$J143*(1+'Unit tariffs'!$F$2)</f>
        <v>8922.1369999999988</v>
      </c>
      <c r="N143" s="417">
        <f>+$M143*(1+'Unit tariffs'!$F$2)</f>
        <v>9430.6988089999977</v>
      </c>
    </row>
    <row r="144" spans="1:14" ht="33" customHeight="1" x14ac:dyDescent="0.35">
      <c r="A144" s="269"/>
      <c r="B144" s="514" t="s">
        <v>405</v>
      </c>
      <c r="C144" s="222"/>
      <c r="D144" s="201">
        <v>0</v>
      </c>
      <c r="E144" s="521"/>
      <c r="F144" s="616">
        <f>+'Calc Sheet 23_24'!H2082</f>
        <v>12300</v>
      </c>
      <c r="G144" s="379">
        <f>+'Calc Sheet 23_24'!I2082</f>
        <v>12300</v>
      </c>
      <c r="H144" s="228">
        <f t="shared" si="8"/>
        <v>0</v>
      </c>
      <c r="I144" s="229">
        <f t="shared" si="9"/>
        <v>1845</v>
      </c>
      <c r="J144" s="562">
        <f>G144+I144</f>
        <v>14145</v>
      </c>
      <c r="K144" s="271">
        <v>9100033030416</v>
      </c>
      <c r="M144" s="416">
        <f>+$J144*(1+'Unit tariffs'!$F$2)</f>
        <v>14951.264999999999</v>
      </c>
      <c r="N144" s="417">
        <f>+$M144*(1+'Unit tariffs'!$F$2)</f>
        <v>15803.487104999998</v>
      </c>
    </row>
    <row r="145" spans="1:14" ht="26" x14ac:dyDescent="0.35">
      <c r="A145" s="269"/>
      <c r="B145" s="514" t="s">
        <v>404</v>
      </c>
      <c r="C145" s="222"/>
      <c r="D145" s="201">
        <f>+'Calc Sheet 23_24'!H2137</f>
        <v>18390</v>
      </c>
      <c r="E145" s="522">
        <v>16065</v>
      </c>
      <c r="F145" s="616">
        <f>+'Calc Sheet 23_24'!H2137</f>
        <v>18390</v>
      </c>
      <c r="G145" s="379">
        <f>+'Calc Sheet 23_24'!I2137</f>
        <v>10240</v>
      </c>
      <c r="H145" s="228">
        <f t="shared" si="8"/>
        <v>-0.44317563893420336</v>
      </c>
      <c r="I145" s="229">
        <f t="shared" si="9"/>
        <v>1536</v>
      </c>
      <c r="J145" s="562">
        <f>G145+I145</f>
        <v>11776</v>
      </c>
      <c r="K145" s="271">
        <v>9100033030416</v>
      </c>
      <c r="M145" s="416">
        <f>+$J145*(1+'Unit tariffs'!$F$2)</f>
        <v>12447.232</v>
      </c>
      <c r="N145" s="417">
        <f>+$M145*(1+'Unit tariffs'!$F$2)</f>
        <v>13156.724224</v>
      </c>
    </row>
    <row r="146" spans="1:14" ht="33" customHeight="1" x14ac:dyDescent="0.35">
      <c r="A146" s="269"/>
      <c r="B146" s="514" t="s">
        <v>406</v>
      </c>
      <c r="C146" s="222"/>
      <c r="D146" s="201">
        <v>15894.94</v>
      </c>
      <c r="E146" s="521"/>
      <c r="F146" s="616">
        <f>+'Calc Sheet 23_24'!H2154</f>
        <v>41100</v>
      </c>
      <c r="G146" s="379">
        <f>+'Calc Sheet 23_24'!I2154</f>
        <v>41100</v>
      </c>
      <c r="H146" s="228">
        <f t="shared" si="8"/>
        <v>0</v>
      </c>
      <c r="I146" s="229">
        <f t="shared" si="9"/>
        <v>6165</v>
      </c>
      <c r="J146" s="562">
        <f t="shared" ref="J146" si="10">G146+I146</f>
        <v>47265</v>
      </c>
      <c r="K146" s="271">
        <v>9100033030416</v>
      </c>
      <c r="M146" s="416">
        <f>+$J146*(1+'Unit tariffs'!$F$2)</f>
        <v>49959.104999999996</v>
      </c>
      <c r="N146" s="417">
        <f>+$M146*(1+'Unit tariffs'!$F$2)</f>
        <v>52806.773984999993</v>
      </c>
    </row>
    <row r="147" spans="1:14" x14ac:dyDescent="0.35">
      <c r="A147" s="269"/>
      <c r="B147" s="221" t="s">
        <v>137</v>
      </c>
      <c r="C147" s="222"/>
      <c r="D147" s="201">
        <f>+'Calc Sheet 23_24'!H2208</f>
        <v>26430</v>
      </c>
      <c r="E147" s="522">
        <v>20260</v>
      </c>
      <c r="F147" s="616">
        <f>+'Calc Sheet 23_24'!H2208</f>
        <v>26430</v>
      </c>
      <c r="G147" s="379">
        <f>+'Calc Sheet 23_24'!I2208</f>
        <v>25770</v>
      </c>
      <c r="H147" s="228">
        <f t="shared" si="6"/>
        <v>-2.4971623155505107E-2</v>
      </c>
      <c r="I147" s="229">
        <f t="shared" si="9"/>
        <v>3865.5</v>
      </c>
      <c r="J147" s="562">
        <f t="shared" si="7"/>
        <v>29635.5</v>
      </c>
      <c r="K147" s="271">
        <v>9100033030416</v>
      </c>
      <c r="M147" s="416">
        <f>+$J147*(1+'Unit tariffs'!$F$2)</f>
        <v>31324.723499999996</v>
      </c>
      <c r="N147" s="417">
        <f>+$M147*(1+'Unit tariffs'!$F$2)</f>
        <v>33110.232739499996</v>
      </c>
    </row>
    <row r="148" spans="1:14" ht="23.25" customHeight="1" x14ac:dyDescent="0.35">
      <c r="A148" s="269"/>
      <c r="B148" s="514" t="s">
        <v>408</v>
      </c>
      <c r="C148" s="222"/>
      <c r="D148" s="201">
        <v>0</v>
      </c>
      <c r="E148" s="521"/>
      <c r="F148" s="616">
        <f>+'Calc Sheet 23_24'!H2225</f>
        <v>100000</v>
      </c>
      <c r="G148" s="379">
        <f>+'Calc Sheet 23_24'!I2225</f>
        <v>100000</v>
      </c>
      <c r="H148" s="228">
        <f t="shared" ref="H148:H150" si="11">(G148-F148)/F148</f>
        <v>0</v>
      </c>
      <c r="I148" s="229">
        <f t="shared" si="9"/>
        <v>15000</v>
      </c>
      <c r="J148" s="562">
        <f t="shared" si="7"/>
        <v>115000</v>
      </c>
      <c r="K148" s="271">
        <v>9100033030416</v>
      </c>
      <c r="M148" s="416">
        <f>+$J148*(1+'Unit tariffs'!$F$2)</f>
        <v>121555</v>
      </c>
      <c r="N148" s="417">
        <f>+$M148*(1+'Unit tariffs'!$F$2)</f>
        <v>128483.63499999999</v>
      </c>
    </row>
    <row r="149" spans="1:14" ht="23.25" customHeight="1" x14ac:dyDescent="0.35">
      <c r="A149" s="269"/>
      <c r="B149" s="514" t="s">
        <v>409</v>
      </c>
      <c r="C149" s="222"/>
      <c r="D149" s="201">
        <v>0</v>
      </c>
      <c r="E149" s="521"/>
      <c r="F149" s="616">
        <f>+'Calc Sheet 23_24'!H2241</f>
        <v>170000</v>
      </c>
      <c r="G149" s="379">
        <f>+'Calc Sheet 23_24'!I2241</f>
        <v>170000</v>
      </c>
      <c r="H149" s="244">
        <f t="shared" si="11"/>
        <v>0</v>
      </c>
      <c r="I149" s="229">
        <f t="shared" si="9"/>
        <v>25500</v>
      </c>
      <c r="J149" s="562">
        <f t="shared" si="7"/>
        <v>195500</v>
      </c>
      <c r="K149" s="271">
        <v>9100033030416</v>
      </c>
      <c r="M149" s="416">
        <f>+$J149*(1+'Unit tariffs'!$F$2)</f>
        <v>206643.5</v>
      </c>
      <c r="N149" s="417">
        <f>+$M149*(1+'Unit tariffs'!$F$2)</f>
        <v>218422.1795</v>
      </c>
    </row>
    <row r="150" spans="1:14" x14ac:dyDescent="0.35">
      <c r="A150" s="269"/>
      <c r="B150" s="514" t="s">
        <v>412</v>
      </c>
      <c r="C150" s="222"/>
      <c r="D150" s="556">
        <v>954.07</v>
      </c>
      <c r="E150" s="521"/>
      <c r="F150" s="616">
        <f>+'Calc Sheet 23_24'!H2272</f>
        <v>1810</v>
      </c>
      <c r="G150" s="379">
        <f>+'Calc Sheet 23_24'!I2272</f>
        <v>1910</v>
      </c>
      <c r="H150" s="228">
        <f t="shared" si="11"/>
        <v>5.5248618784530384E-2</v>
      </c>
      <c r="I150" s="229">
        <f t="shared" si="9"/>
        <v>286.5</v>
      </c>
      <c r="J150" s="562">
        <f>+I150+G150</f>
        <v>2196.5</v>
      </c>
      <c r="K150" s="271">
        <v>9100033030416</v>
      </c>
      <c r="M150" s="416">
        <f>+$J150*(1+'Unit tariffs'!$F$2)</f>
        <v>2321.7004999999999</v>
      </c>
      <c r="N150" s="417">
        <f>+$M150*(1+'Unit tariffs'!$F$2)</f>
        <v>2454.0374284999998</v>
      </c>
    </row>
    <row r="151" spans="1:14" ht="20.25" customHeight="1" x14ac:dyDescent="0.35">
      <c r="A151" s="269"/>
      <c r="B151" s="558" t="s">
        <v>407</v>
      </c>
      <c r="C151" s="222"/>
      <c r="D151" s="201"/>
      <c r="E151" s="521"/>
      <c r="F151" s="606"/>
      <c r="G151" s="379"/>
      <c r="H151" s="244"/>
      <c r="I151" s="245"/>
      <c r="J151" s="562"/>
      <c r="K151" s="271">
        <v>9100033030416</v>
      </c>
      <c r="M151" s="416"/>
      <c r="N151" s="417"/>
    </row>
    <row r="152" spans="1:14" ht="21" customHeight="1" x14ac:dyDescent="0.35">
      <c r="A152" s="286"/>
      <c r="B152" s="322" t="s">
        <v>249</v>
      </c>
      <c r="C152" s="317"/>
      <c r="D152" s="305"/>
      <c r="E152" s="518"/>
      <c r="F152" s="604"/>
      <c r="G152" s="292"/>
      <c r="H152" s="290"/>
      <c r="I152" s="291"/>
      <c r="J152" s="569"/>
      <c r="K152" s="310"/>
      <c r="M152" s="412"/>
      <c r="N152" s="413"/>
    </row>
    <row r="153" spans="1:14" ht="57" customHeight="1" x14ac:dyDescent="0.35">
      <c r="A153" s="269"/>
      <c r="B153" s="359" t="s">
        <v>250</v>
      </c>
      <c r="C153" s="246"/>
      <c r="D153" s="248" t="s">
        <v>251</v>
      </c>
      <c r="E153" s="537"/>
      <c r="F153" s="622" t="s">
        <v>344</v>
      </c>
      <c r="G153" s="644" t="s">
        <v>442</v>
      </c>
      <c r="H153" s="228"/>
      <c r="I153" s="229"/>
      <c r="J153" s="570"/>
      <c r="K153" s="271">
        <v>9100033030416</v>
      </c>
      <c r="M153" s="416"/>
      <c r="N153" s="417"/>
    </row>
    <row r="154" spans="1:14" ht="57" customHeight="1" x14ac:dyDescent="0.35">
      <c r="A154" s="269"/>
      <c r="B154" s="247" t="s">
        <v>252</v>
      </c>
      <c r="C154" s="246"/>
      <c r="D154" s="248" t="s">
        <v>251</v>
      </c>
      <c r="E154" s="537"/>
      <c r="F154" s="622" t="s">
        <v>344</v>
      </c>
      <c r="G154" s="387" t="s">
        <v>344</v>
      </c>
      <c r="H154" s="228"/>
      <c r="I154" s="229"/>
      <c r="J154" s="570"/>
      <c r="K154" s="271">
        <v>9100033030416</v>
      </c>
      <c r="M154" s="416"/>
      <c r="N154" s="417"/>
    </row>
    <row r="155" spans="1:14" ht="62.5" x14ac:dyDescent="0.35">
      <c r="A155" s="269"/>
      <c r="B155" s="249" t="s">
        <v>258</v>
      </c>
      <c r="C155" s="246"/>
      <c r="D155" s="250" t="s">
        <v>253</v>
      </c>
      <c r="E155" s="538"/>
      <c r="F155" s="622" t="s">
        <v>343</v>
      </c>
      <c r="G155" s="387" t="s">
        <v>343</v>
      </c>
      <c r="H155" s="228"/>
      <c r="I155" s="229"/>
      <c r="J155" s="570"/>
      <c r="K155" s="271">
        <v>9100033030416</v>
      </c>
      <c r="M155" s="416"/>
      <c r="N155" s="417"/>
    </row>
    <row r="156" spans="1:14" ht="62.5" x14ac:dyDescent="0.35">
      <c r="A156" s="269"/>
      <c r="B156" s="249" t="s">
        <v>345</v>
      </c>
      <c r="C156" s="246"/>
      <c r="D156" s="250" t="s">
        <v>254</v>
      </c>
      <c r="E156" s="538"/>
      <c r="F156" s="622" t="s">
        <v>255</v>
      </c>
      <c r="G156" s="387" t="s">
        <v>255</v>
      </c>
      <c r="H156" s="228"/>
      <c r="I156" s="229"/>
      <c r="J156" s="570"/>
      <c r="K156" s="271">
        <v>9100033030416</v>
      </c>
      <c r="M156" s="416"/>
      <c r="N156" s="417"/>
    </row>
    <row r="157" spans="1:14" ht="62.5" x14ac:dyDescent="0.35">
      <c r="A157" s="269"/>
      <c r="B157" s="249" t="s">
        <v>346</v>
      </c>
      <c r="C157" s="246"/>
      <c r="D157" s="250" t="s">
        <v>255</v>
      </c>
      <c r="E157" s="538"/>
      <c r="F157" s="622" t="s">
        <v>342</v>
      </c>
      <c r="G157" s="387" t="s">
        <v>342</v>
      </c>
      <c r="H157" s="392"/>
      <c r="I157" s="229"/>
      <c r="J157" s="570"/>
      <c r="K157" s="271">
        <v>9100033030416</v>
      </c>
      <c r="M157" s="416"/>
      <c r="N157" s="417"/>
    </row>
    <row r="158" spans="1:14" ht="39.5" x14ac:dyDescent="0.35">
      <c r="A158" s="269"/>
      <c r="B158" s="227" t="s">
        <v>256</v>
      </c>
      <c r="C158" s="246"/>
      <c r="D158" s="235"/>
      <c r="E158" s="523"/>
      <c r="F158" s="607"/>
      <c r="G158" s="380"/>
      <c r="H158" s="228"/>
      <c r="I158" s="229"/>
      <c r="J158" s="570"/>
      <c r="K158" s="271"/>
      <c r="M158" s="416"/>
      <c r="N158" s="417"/>
    </row>
    <row r="159" spans="1:14" ht="15" thickBot="1" x14ac:dyDescent="0.4">
      <c r="A159" s="364"/>
      <c r="B159" s="365"/>
      <c r="C159" s="375"/>
      <c r="D159" s="376"/>
      <c r="E159" s="539"/>
      <c r="F159" s="623"/>
      <c r="G159" s="388"/>
      <c r="H159" s="361"/>
      <c r="I159" s="362"/>
      <c r="J159" s="571"/>
      <c r="K159" s="363"/>
      <c r="M159" s="426"/>
      <c r="N159" s="427"/>
    </row>
    <row r="160" spans="1:14" ht="19.5" customHeight="1" x14ac:dyDescent="0.35">
      <c r="A160" s="261"/>
      <c r="B160" s="262" t="s">
        <v>148</v>
      </c>
      <c r="C160" s="374"/>
      <c r="D160" s="368" t="s">
        <v>74</v>
      </c>
      <c r="E160" s="529"/>
      <c r="F160" s="613" t="s">
        <v>74</v>
      </c>
      <c r="G160" s="370" t="s">
        <v>74</v>
      </c>
      <c r="H160" s="369" t="s">
        <v>85</v>
      </c>
      <c r="I160" s="52" t="s">
        <v>441</v>
      </c>
      <c r="J160" s="370" t="s">
        <v>138</v>
      </c>
      <c r="K160" s="371" t="s">
        <v>75</v>
      </c>
      <c r="M160" s="669" t="s">
        <v>138</v>
      </c>
      <c r="N160" s="670" t="s">
        <v>138</v>
      </c>
    </row>
    <row r="161" spans="1:14" x14ac:dyDescent="0.35">
      <c r="A161" s="269"/>
      <c r="B161" s="227"/>
      <c r="C161" s="226"/>
      <c r="D161" s="328" t="s">
        <v>77</v>
      </c>
      <c r="E161" s="516"/>
      <c r="F161" s="602" t="s">
        <v>77</v>
      </c>
      <c r="G161" s="224" t="s">
        <v>77</v>
      </c>
      <c r="H161" s="327" t="s">
        <v>86</v>
      </c>
      <c r="I161" s="643">
        <f>+'Unit tariffs'!F$3</f>
        <v>0.15</v>
      </c>
      <c r="J161" s="224" t="s">
        <v>139</v>
      </c>
      <c r="K161" s="325" t="s">
        <v>78</v>
      </c>
      <c r="M161" s="666" t="s">
        <v>139</v>
      </c>
      <c r="N161" s="667" t="s">
        <v>139</v>
      </c>
    </row>
    <row r="162" spans="1:14" x14ac:dyDescent="0.35">
      <c r="A162" s="269"/>
      <c r="B162" s="227" t="s">
        <v>105</v>
      </c>
      <c r="C162" s="226"/>
      <c r="D162" s="328" t="str">
        <f>D$4</f>
        <v>2016/2017</v>
      </c>
      <c r="E162" s="516"/>
      <c r="F162" s="665" t="str">
        <f>'Calc Sheet 23_24'!$H$11</f>
        <v>2025/2026</v>
      </c>
      <c r="G162" s="224" t="str">
        <f>'Calc Sheet 23_24'!$I$11</f>
        <v>2026/2027</v>
      </c>
      <c r="H162" s="327" t="str">
        <f>G162</f>
        <v>2026/2027</v>
      </c>
      <c r="I162" s="52" t="str">
        <f>G162</f>
        <v>2026/2027</v>
      </c>
      <c r="J162" s="224" t="str">
        <f>I162</f>
        <v>2026/2027</v>
      </c>
      <c r="K162" s="325" t="s">
        <v>79</v>
      </c>
      <c r="M162" s="666" t="s">
        <v>431</v>
      </c>
      <c r="N162" s="667" t="s">
        <v>451</v>
      </c>
    </row>
    <row r="163" spans="1:14" ht="15" thickBot="1" x14ac:dyDescent="0.4">
      <c r="A163" s="293"/>
      <c r="B163" s="294"/>
      <c r="C163" s="295"/>
      <c r="D163" s="331" t="s">
        <v>80</v>
      </c>
      <c r="E163" s="517"/>
      <c r="F163" s="603" t="s">
        <v>80</v>
      </c>
      <c r="G163" s="334" t="s">
        <v>80</v>
      </c>
      <c r="H163" s="332"/>
      <c r="I163" s="333"/>
      <c r="J163" s="334"/>
      <c r="K163" s="335"/>
      <c r="M163" s="410"/>
      <c r="N163" s="411"/>
    </row>
    <row r="164" spans="1:14" ht="16" thickTop="1" x14ac:dyDescent="0.35">
      <c r="A164" s="286"/>
      <c r="B164" s="303"/>
      <c r="C164" s="317"/>
      <c r="D164" s="318"/>
      <c r="E164" s="540"/>
      <c r="F164" s="624"/>
      <c r="G164" s="389"/>
      <c r="H164" s="319"/>
      <c r="I164" s="320"/>
      <c r="J164" s="572"/>
      <c r="K164" s="321"/>
      <c r="M164" s="428"/>
      <c r="N164" s="429"/>
    </row>
    <row r="165" spans="1:14" ht="25" x14ac:dyDescent="0.35">
      <c r="A165" s="269"/>
      <c r="B165" s="249" t="s">
        <v>257</v>
      </c>
      <c r="C165" s="251"/>
      <c r="D165" s="378">
        <v>82.004999999999995</v>
      </c>
      <c r="E165" s="541"/>
      <c r="F165" s="625">
        <v>93.186873780000013</v>
      </c>
      <c r="G165" s="390">
        <f>+F165*(1+'Unit tariffs'!$F$2)</f>
        <v>98.498525585460015</v>
      </c>
      <c r="H165" s="228">
        <f t="shared" ref="H165:H166" si="12">(G165-F165)/F165</f>
        <v>5.7000000000000016E-2</v>
      </c>
      <c r="I165" s="229">
        <f t="shared" ref="I165:I166" si="13">G165*I$3</f>
        <v>14.774778837819001</v>
      </c>
      <c r="J165" s="573">
        <f>+I165+G165</f>
        <v>113.27330442327901</v>
      </c>
      <c r="K165" s="351">
        <v>9100033030416</v>
      </c>
      <c r="L165" s="151" t="s">
        <v>275</v>
      </c>
      <c r="M165" s="416">
        <f>+$J165*(1+'Unit tariffs'!$F$2)</f>
        <v>119.72988277540591</v>
      </c>
      <c r="N165" s="417">
        <f>+$M165*(1+'Unit tariffs'!$F$2)</f>
        <v>126.55448609360404</v>
      </c>
    </row>
    <row r="166" spans="1:14" x14ac:dyDescent="0.35">
      <c r="A166" s="269"/>
      <c r="B166" s="216" t="s">
        <v>319</v>
      </c>
      <c r="C166" s="253"/>
      <c r="D166" s="378">
        <v>63.9</v>
      </c>
      <c r="E166" s="541"/>
      <c r="F166" s="625">
        <v>72.613148400000014</v>
      </c>
      <c r="G166" s="390">
        <f>+F166*(1+'Unit tariffs'!$F$2)</f>
        <v>76.752097858800013</v>
      </c>
      <c r="H166" s="228">
        <f t="shared" si="12"/>
        <v>5.6999999999999974E-2</v>
      </c>
      <c r="I166" s="229">
        <f t="shared" si="13"/>
        <v>11.512814678820002</v>
      </c>
      <c r="J166" s="574">
        <f>+I166+G166</f>
        <v>88.26491253762002</v>
      </c>
      <c r="K166" s="351">
        <v>9100033030416</v>
      </c>
      <c r="M166" s="416">
        <f>+$J166*(1+'Unit tariffs'!$F$2)</f>
        <v>93.296012552264358</v>
      </c>
      <c r="N166" s="417">
        <f>+$M166*(1+'Unit tariffs'!$F$2)</f>
        <v>98.613885267743427</v>
      </c>
    </row>
    <row r="167" spans="1:14" x14ac:dyDescent="0.25">
      <c r="A167" s="269"/>
      <c r="B167" s="216"/>
      <c r="C167" s="254"/>
      <c r="D167" s="259"/>
      <c r="E167" s="542"/>
      <c r="F167" s="626"/>
      <c r="G167" s="258"/>
      <c r="H167" s="260"/>
      <c r="I167" s="255"/>
      <c r="J167" s="575"/>
      <c r="K167" s="352"/>
      <c r="M167" s="430"/>
      <c r="N167" s="431"/>
    </row>
    <row r="168" spans="1:14" x14ac:dyDescent="0.25">
      <c r="A168" s="269"/>
      <c r="B168" s="216" t="s">
        <v>320</v>
      </c>
      <c r="C168" s="254"/>
      <c r="D168" s="259"/>
      <c r="E168" s="542"/>
      <c r="F168" s="626"/>
      <c r="G168" s="258"/>
      <c r="H168" s="260"/>
      <c r="I168" s="255"/>
      <c r="J168" s="575"/>
      <c r="K168" s="352"/>
      <c r="M168" s="430"/>
      <c r="N168" s="431"/>
    </row>
    <row r="169" spans="1:14" x14ac:dyDescent="0.35">
      <c r="A169" s="269"/>
      <c r="B169" s="216" t="s">
        <v>274</v>
      </c>
      <c r="C169" s="254"/>
      <c r="D169" s="259">
        <v>170.13374999999999</v>
      </c>
      <c r="E169" s="542"/>
      <c r="F169" s="625">
        <v>193.33250761500003</v>
      </c>
      <c r="G169" s="390">
        <f>+F169*(1+'Unit tariffs'!$F$2)</f>
        <v>204.35246054905502</v>
      </c>
      <c r="H169" s="228">
        <f t="shared" ref="H169" si="14">(G169-F169)/F169</f>
        <v>5.6999999999999988E-2</v>
      </c>
      <c r="I169" s="229">
        <f>G169*I$3</f>
        <v>30.652869082358251</v>
      </c>
      <c r="J169" s="574">
        <f>+I169+G169</f>
        <v>235.00532963141328</v>
      </c>
      <c r="K169" s="351">
        <v>9100033030416</v>
      </c>
      <c r="M169" s="416">
        <f>+$J169*(1+'Unit tariffs'!$F$2)</f>
        <v>248.40063342040381</v>
      </c>
      <c r="N169" s="417">
        <f>+$M169*(1+'Unit tariffs'!$F$2)</f>
        <v>262.55946952536681</v>
      </c>
    </row>
    <row r="170" spans="1:14" ht="21.75" customHeight="1" x14ac:dyDescent="0.35">
      <c r="A170" s="276" t="s">
        <v>263</v>
      </c>
      <c r="B170" s="256"/>
      <c r="C170" s="254"/>
      <c r="D170" s="259"/>
      <c r="E170" s="542"/>
      <c r="F170" s="626"/>
      <c r="G170" s="258"/>
      <c r="H170" s="260"/>
      <c r="I170" s="257"/>
      <c r="J170" s="576"/>
      <c r="K170" s="352"/>
      <c r="M170" s="432"/>
      <c r="N170" s="433"/>
    </row>
    <row r="171" spans="1:14" x14ac:dyDescent="0.35">
      <c r="A171" s="269"/>
      <c r="B171" s="216" t="s">
        <v>321</v>
      </c>
      <c r="C171" s="254"/>
      <c r="D171" s="378">
        <v>63.768319353000003</v>
      </c>
      <c r="E171" s="541"/>
      <c r="F171" s="625">
        <v>72.46351230669768</v>
      </c>
      <c r="G171" s="390">
        <f>+F171*(1+'Unit tariffs'!$F$2)</f>
        <v>76.593932508179449</v>
      </c>
      <c r="H171" s="228">
        <f t="shared" ref="H171" si="15">(G171-F171)/F171</f>
        <v>5.7000000000000016E-2</v>
      </c>
      <c r="I171" s="229">
        <f>G171*I$3</f>
        <v>11.489089876226917</v>
      </c>
      <c r="J171" s="574">
        <f>+I171+G171</f>
        <v>88.083022384406362</v>
      </c>
      <c r="K171" s="352"/>
      <c r="M171" s="416">
        <f>+$J171*(1+'Unit tariffs'!$F$2)</f>
        <v>93.10375466031752</v>
      </c>
      <c r="N171" s="417">
        <f>+$M171*(1+'Unit tariffs'!$F$2)</f>
        <v>98.41066867595562</v>
      </c>
    </row>
    <row r="172" spans="1:14" x14ac:dyDescent="0.3">
      <c r="A172" s="276" t="s">
        <v>264</v>
      </c>
      <c r="B172" s="227"/>
      <c r="C172" s="254"/>
      <c r="D172" s="259"/>
      <c r="E172" s="542"/>
      <c r="F172" s="626"/>
      <c r="G172" s="258"/>
      <c r="H172" s="260"/>
      <c r="I172" s="254"/>
      <c r="J172" s="577"/>
      <c r="K172" s="352"/>
      <c r="M172" s="434"/>
      <c r="N172" s="435"/>
    </row>
    <row r="173" spans="1:14" x14ac:dyDescent="0.35">
      <c r="A173" s="269"/>
      <c r="B173" s="216" t="s">
        <v>322</v>
      </c>
      <c r="C173" s="254"/>
      <c r="D173" s="378">
        <v>379.45599614999998</v>
      </c>
      <c r="E173" s="541"/>
      <c r="F173" s="625">
        <v>431.19709796102939</v>
      </c>
      <c r="G173" s="390">
        <f>+F173*(1+'Unit tariffs'!$F$2)</f>
        <v>455.77533254480801</v>
      </c>
      <c r="H173" s="228">
        <f t="shared" ref="H173" si="16">(G173-F173)/F173</f>
        <v>5.6999999999999884E-2</v>
      </c>
      <c r="I173" s="229">
        <f t="shared" ref="I173:I177" si="17">G173*I$3</f>
        <v>68.366299881721204</v>
      </c>
      <c r="J173" s="574">
        <f t="shared" ref="J173:J177" si="18">+I173+G173</f>
        <v>524.14163242652921</v>
      </c>
      <c r="K173" s="352"/>
      <c r="M173" s="416">
        <f>+$J173*(1+'Unit tariffs'!$F$2)</f>
        <v>554.01770547484136</v>
      </c>
      <c r="N173" s="417">
        <f>+$M173*(1+'Unit tariffs'!$F$2)</f>
        <v>585.59671468690726</v>
      </c>
    </row>
    <row r="174" spans="1:14" x14ac:dyDescent="0.35">
      <c r="A174" s="269"/>
      <c r="B174" s="216" t="s">
        <v>323</v>
      </c>
      <c r="C174" s="254"/>
      <c r="D174" s="511">
        <f>+D173*1.33</f>
        <v>504.67647487950001</v>
      </c>
      <c r="E174" s="543"/>
      <c r="F174" s="627">
        <v>0</v>
      </c>
      <c r="G174" s="662" t="s">
        <v>447</v>
      </c>
      <c r="H174" s="510"/>
      <c r="I174" s="229"/>
      <c r="J174" s="578"/>
      <c r="K174" s="352"/>
      <c r="M174" s="416"/>
      <c r="N174" s="417"/>
    </row>
    <row r="175" spans="1:14" x14ac:dyDescent="0.35">
      <c r="A175" s="269"/>
      <c r="B175" s="216" t="s">
        <v>324</v>
      </c>
      <c r="C175" s="254"/>
      <c r="D175" s="512">
        <v>1300.9796274750001</v>
      </c>
      <c r="E175" s="544"/>
      <c r="F175" s="628">
        <v>1478.3760055589814</v>
      </c>
      <c r="G175" s="390">
        <f>+F175*(1+'Unit tariffs'!$F$2)</f>
        <v>1562.6434378758433</v>
      </c>
      <c r="H175" s="228">
        <f t="shared" ref="H175" si="19">(G175-F175)/F175</f>
        <v>5.6999999999999981E-2</v>
      </c>
      <c r="I175" s="229">
        <f t="shared" si="17"/>
        <v>234.39651568137648</v>
      </c>
      <c r="J175" s="574">
        <f t="shared" si="18"/>
        <v>1797.0399535572199</v>
      </c>
      <c r="K175" s="352"/>
      <c r="M175" s="416">
        <f>+$J175*(1+'Unit tariffs'!$F$2)</f>
        <v>1899.4712309099814</v>
      </c>
      <c r="N175" s="417">
        <f>+$M175*(1+'Unit tariffs'!$F$2)</f>
        <v>2007.7410910718502</v>
      </c>
    </row>
    <row r="176" spans="1:14" x14ac:dyDescent="0.35">
      <c r="A176" s="269"/>
      <c r="B176" s="216" t="s">
        <v>325</v>
      </c>
      <c r="C176" s="254"/>
      <c r="D176" s="511">
        <f>+D175*1.33</f>
        <v>1730.3029045417502</v>
      </c>
      <c r="E176" s="543"/>
      <c r="F176" s="627">
        <v>0</v>
      </c>
      <c r="G176" s="662" t="s">
        <v>447</v>
      </c>
      <c r="H176" s="510"/>
      <c r="I176" s="229"/>
      <c r="J176" s="578"/>
      <c r="K176" s="352"/>
      <c r="M176" s="416"/>
      <c r="N176" s="417"/>
    </row>
    <row r="177" spans="1:14" x14ac:dyDescent="0.35">
      <c r="A177" s="269"/>
      <c r="B177" s="216" t="s">
        <v>326</v>
      </c>
      <c r="C177" s="254"/>
      <c r="D177" s="512">
        <v>2710.3752538500003</v>
      </c>
      <c r="E177" s="544"/>
      <c r="F177" s="628">
        <v>3079.9511819639715</v>
      </c>
      <c r="G177" s="390">
        <f>+F177*(1+'Unit tariffs'!$F$2)</f>
        <v>3255.5083993359176</v>
      </c>
      <c r="H177" s="228">
        <f t="shared" ref="H177" si="20">(G177-F177)/F177</f>
        <v>5.6999999999999905E-2</v>
      </c>
      <c r="I177" s="229">
        <f t="shared" si="17"/>
        <v>488.32625990038764</v>
      </c>
      <c r="J177" s="574">
        <f t="shared" si="18"/>
        <v>3743.834659236305</v>
      </c>
      <c r="K177" s="352"/>
      <c r="M177" s="416">
        <f>+$J177*(1+'Unit tariffs'!$F$2)</f>
        <v>3957.2332348127743</v>
      </c>
      <c r="N177" s="417">
        <f>+$M177*(1+'Unit tariffs'!$F$2)</f>
        <v>4182.795529197102</v>
      </c>
    </row>
    <row r="178" spans="1:14" x14ac:dyDescent="0.35">
      <c r="A178" s="269"/>
      <c r="B178" s="216" t="s">
        <v>327</v>
      </c>
      <c r="C178" s="254"/>
      <c r="D178" s="511">
        <f>+D177*1.33</f>
        <v>3604.7990876205004</v>
      </c>
      <c r="E178" s="543"/>
      <c r="F178" s="627">
        <v>0</v>
      </c>
      <c r="G178" s="662" t="s">
        <v>447</v>
      </c>
      <c r="H178" s="510"/>
      <c r="I178" s="229"/>
      <c r="J178" s="578"/>
      <c r="K178" s="352"/>
      <c r="M178" s="416"/>
      <c r="N178" s="417"/>
    </row>
    <row r="179" spans="1:14" x14ac:dyDescent="0.25">
      <c r="A179" s="269"/>
      <c r="B179" s="216"/>
      <c r="C179" s="254"/>
      <c r="D179" s="378"/>
      <c r="E179" s="541"/>
      <c r="F179" s="625"/>
      <c r="G179" s="390"/>
      <c r="H179" s="354"/>
      <c r="I179" s="252"/>
      <c r="J179" s="577"/>
      <c r="K179" s="352"/>
      <c r="M179" s="434"/>
      <c r="N179" s="435"/>
    </row>
    <row r="180" spans="1:14" x14ac:dyDescent="0.3">
      <c r="A180" s="314" t="s">
        <v>268</v>
      </c>
      <c r="B180" s="315"/>
      <c r="C180" s="312"/>
      <c r="D180" s="316"/>
      <c r="E180" s="545"/>
      <c r="F180" s="629"/>
      <c r="G180" s="313"/>
      <c r="H180" s="355"/>
      <c r="I180" s="312"/>
      <c r="J180" s="579"/>
      <c r="K180" s="353"/>
      <c r="M180" s="436"/>
      <c r="N180" s="437"/>
    </row>
    <row r="181" spans="1:14" ht="19.5" customHeight="1" x14ac:dyDescent="0.35">
      <c r="A181" s="269"/>
      <c r="B181" s="216" t="s">
        <v>269</v>
      </c>
      <c r="C181" s="254"/>
      <c r="D181" s="259">
        <v>500</v>
      </c>
      <c r="E181" s="542"/>
      <c r="F181" s="626">
        <v>639.6</v>
      </c>
      <c r="G181" s="390">
        <f>+F181*(1+'Unit tariffs'!$F$2)</f>
        <v>676.05719999999997</v>
      </c>
      <c r="H181" s="228">
        <f t="shared" ref="H181:H184" si="21">(G181-F181)/F181</f>
        <v>5.6999999999999912E-2</v>
      </c>
      <c r="I181" s="229">
        <f t="shared" ref="I181:I182" si="22">G181*I$3</f>
        <v>101.40857999999999</v>
      </c>
      <c r="J181" s="574">
        <f>+I181+G181</f>
        <v>777.46578</v>
      </c>
      <c r="K181" s="352"/>
      <c r="M181" s="416">
        <f>+$J181*(1+'Unit tariffs'!$F$2)</f>
        <v>821.78132945999994</v>
      </c>
      <c r="N181" s="417">
        <f>+$M181*(1+'Unit tariffs'!$F$2)</f>
        <v>868.62286523921989</v>
      </c>
    </row>
    <row r="182" spans="1:14" x14ac:dyDescent="0.35">
      <c r="A182" s="269"/>
      <c r="B182" s="216" t="s">
        <v>270</v>
      </c>
      <c r="C182" s="254"/>
      <c r="D182" s="259">
        <v>1500</v>
      </c>
      <c r="E182" s="542"/>
      <c r="F182" s="626">
        <v>1705.6000000000001</v>
      </c>
      <c r="G182" s="390">
        <f>+F182*(1+'Unit tariffs'!$F$2)</f>
        <v>1802.8192000000001</v>
      </c>
      <c r="H182" s="228">
        <f t="shared" si="21"/>
        <v>5.6999999999999995E-2</v>
      </c>
      <c r="I182" s="229">
        <f t="shared" si="22"/>
        <v>270.42288000000002</v>
      </c>
      <c r="J182" s="574">
        <f>+I182+G182</f>
        <v>2073.24208</v>
      </c>
      <c r="K182" s="352"/>
      <c r="M182" s="416">
        <f>+$J182*(1+'Unit tariffs'!$F$2)</f>
        <v>2191.41687856</v>
      </c>
      <c r="N182" s="417">
        <f>+$M182*(1+'Unit tariffs'!$F$2)</f>
        <v>2316.32764063792</v>
      </c>
    </row>
    <row r="183" spans="1:14" x14ac:dyDescent="0.25">
      <c r="A183" s="269"/>
      <c r="B183" s="216" t="s">
        <v>348</v>
      </c>
      <c r="C183" s="254"/>
      <c r="D183" s="259">
        <v>6600</v>
      </c>
      <c r="E183" s="542"/>
      <c r="F183" s="626">
        <v>7568.6</v>
      </c>
      <c r="G183" s="390">
        <f>+F183*(1+'Unit tariffs'!$F$2)</f>
        <v>8000.0101999999997</v>
      </c>
      <c r="H183" s="228">
        <f t="shared" si="21"/>
        <v>5.6999999999999912E-2</v>
      </c>
      <c r="I183" s="252"/>
      <c r="J183" s="577"/>
      <c r="K183" s="352"/>
      <c r="M183" s="434"/>
      <c r="N183" s="435"/>
    </row>
    <row r="184" spans="1:14" x14ac:dyDescent="0.25">
      <c r="A184" s="269"/>
      <c r="B184" s="216" t="s">
        <v>351</v>
      </c>
      <c r="C184" s="254"/>
      <c r="D184" s="259">
        <v>6600</v>
      </c>
      <c r="E184" s="542"/>
      <c r="F184" s="626">
        <v>7568.6</v>
      </c>
      <c r="G184" s="390">
        <f>+F184*(1+'Unit tariffs'!$F$2)</f>
        <v>8000.0101999999997</v>
      </c>
      <c r="H184" s="228">
        <f t="shared" si="21"/>
        <v>5.6999999999999912E-2</v>
      </c>
      <c r="I184" s="254"/>
      <c r="J184" s="577"/>
      <c r="K184" s="352"/>
      <c r="M184" s="434"/>
      <c r="N184" s="435"/>
    </row>
    <row r="185" spans="1:14" ht="30" customHeight="1" x14ac:dyDescent="0.3">
      <c r="A185" s="276" t="s">
        <v>276</v>
      </c>
      <c r="B185" s="221"/>
      <c r="C185" s="254"/>
      <c r="D185" s="259"/>
      <c r="E185" s="542"/>
      <c r="F185" s="626"/>
      <c r="G185" s="258"/>
      <c r="H185" s="260"/>
      <c r="I185" s="254"/>
      <c r="J185" s="577"/>
      <c r="K185" s="352"/>
      <c r="M185" s="434"/>
      <c r="N185" s="435"/>
    </row>
    <row r="186" spans="1:14" ht="18" customHeight="1" x14ac:dyDescent="0.35">
      <c r="A186" s="269"/>
      <c r="B186" s="216" t="s">
        <v>265</v>
      </c>
      <c r="C186" s="254"/>
      <c r="D186" s="259">
        <v>2280</v>
      </c>
      <c r="E186" s="542"/>
      <c r="F186" s="626">
        <v>2665</v>
      </c>
      <c r="G186" s="390">
        <f>+F186*(1+'Unit tariffs'!$F$2)</f>
        <v>2816.9049999999997</v>
      </c>
      <c r="H186" s="228">
        <f t="shared" ref="H186:H188" si="23">(G186-F186)/F186</f>
        <v>5.6999999999999905E-2</v>
      </c>
      <c r="I186" s="229">
        <f t="shared" ref="I186:I188" si="24">G186*I$3</f>
        <v>422.53574999999995</v>
      </c>
      <c r="J186" s="577">
        <f>+G186+I186</f>
        <v>3239.4407499999998</v>
      </c>
      <c r="K186" s="352"/>
      <c r="M186" s="416">
        <f>+$J186*(1+'Unit tariffs'!$F$2)</f>
        <v>3424.0888727499996</v>
      </c>
      <c r="N186" s="417">
        <f>+$M186*(1+'Unit tariffs'!$F$2)</f>
        <v>3619.2619384967493</v>
      </c>
    </row>
    <row r="187" spans="1:14" x14ac:dyDescent="0.35">
      <c r="A187" s="269"/>
      <c r="B187" s="216" t="s">
        <v>266</v>
      </c>
      <c r="C187" s="254"/>
      <c r="D187" s="259">
        <v>11400</v>
      </c>
      <c r="E187" s="542"/>
      <c r="F187" s="626">
        <v>13005.2</v>
      </c>
      <c r="G187" s="390">
        <f>+F187*(1+'Unit tariffs'!$F$2)</f>
        <v>13746.4964</v>
      </c>
      <c r="H187" s="228">
        <f t="shared" si="23"/>
        <v>5.699999999999994E-2</v>
      </c>
      <c r="I187" s="229">
        <f t="shared" si="24"/>
        <v>2061.9744599999999</v>
      </c>
      <c r="J187" s="577">
        <f t="shared" ref="J187:J188" si="25">+G187+I187</f>
        <v>15808.470859999999</v>
      </c>
      <c r="K187" s="352"/>
      <c r="M187" s="416">
        <f>+$J187*(1+'Unit tariffs'!$F$2)</f>
        <v>16709.553699019998</v>
      </c>
      <c r="N187" s="417">
        <f>+$M187*(1+'Unit tariffs'!$F$2)</f>
        <v>17661.998259864136</v>
      </c>
    </row>
    <row r="188" spans="1:14" x14ac:dyDescent="0.35">
      <c r="A188" s="269"/>
      <c r="B188" s="216" t="s">
        <v>267</v>
      </c>
      <c r="C188" s="254"/>
      <c r="D188" s="259">
        <v>57000</v>
      </c>
      <c r="E188" s="542"/>
      <c r="F188" s="626">
        <v>65026</v>
      </c>
      <c r="G188" s="390">
        <f>+F188*(1+'Unit tariffs'!$F$2)</f>
        <v>68732.481999999989</v>
      </c>
      <c r="H188" s="228">
        <f t="shared" si="23"/>
        <v>5.6999999999999829E-2</v>
      </c>
      <c r="I188" s="229">
        <f t="shared" si="24"/>
        <v>10309.872299999997</v>
      </c>
      <c r="J188" s="577">
        <f t="shared" si="25"/>
        <v>79042.354299999992</v>
      </c>
      <c r="K188" s="352"/>
      <c r="M188" s="416">
        <f>+$J188*(1+'Unit tariffs'!$F$2)</f>
        <v>83547.768495099983</v>
      </c>
      <c r="N188" s="417">
        <f>+$M188*(1+'Unit tariffs'!$F$2)</f>
        <v>88309.991299320682</v>
      </c>
    </row>
    <row r="189" spans="1:14" ht="13.25" customHeight="1" x14ac:dyDescent="0.25">
      <c r="A189" s="893" t="s">
        <v>277</v>
      </c>
      <c r="B189" s="894"/>
      <c r="C189" s="895"/>
      <c r="D189" s="254"/>
      <c r="E189" s="254"/>
      <c r="F189" s="254"/>
      <c r="G189" s="254"/>
      <c r="H189" s="228"/>
      <c r="I189" s="254"/>
      <c r="J189" s="580"/>
      <c r="K189" s="352"/>
      <c r="M189" s="434"/>
      <c r="N189" s="435"/>
    </row>
    <row r="190" spans="1:14" ht="13.25" customHeight="1" x14ac:dyDescent="0.25">
      <c r="A190" s="893" t="s">
        <v>278</v>
      </c>
      <c r="B190" s="894"/>
      <c r="C190" s="895"/>
      <c r="D190" s="254"/>
      <c r="E190" s="254"/>
      <c r="F190" s="254"/>
      <c r="G190" s="254"/>
      <c r="H190" s="260"/>
      <c r="I190" s="254"/>
      <c r="J190" s="580"/>
      <c r="K190" s="352"/>
      <c r="M190" s="434"/>
      <c r="N190" s="435"/>
    </row>
    <row r="191" spans="1:14" x14ac:dyDescent="0.35">
      <c r="A191" s="269"/>
      <c r="B191" s="221"/>
      <c r="C191" s="222"/>
      <c r="D191" s="217"/>
      <c r="E191" s="217"/>
      <c r="F191" s="217"/>
      <c r="G191" s="217"/>
      <c r="H191" s="219"/>
      <c r="I191" s="216"/>
      <c r="J191" s="581"/>
      <c r="K191" s="270"/>
      <c r="M191" s="414"/>
      <c r="N191" s="415"/>
    </row>
    <row r="192" spans="1:14" x14ac:dyDescent="0.35">
      <c r="A192" s="276" t="s">
        <v>106</v>
      </c>
      <c r="B192" s="227"/>
      <c r="C192" s="222"/>
      <c r="D192" s="217"/>
      <c r="E192" s="217"/>
      <c r="F192" s="217"/>
      <c r="G192" s="217"/>
      <c r="H192" s="219"/>
      <c r="I192" s="216"/>
      <c r="J192" s="581"/>
      <c r="K192" s="270"/>
      <c r="M192" s="414"/>
      <c r="N192" s="415"/>
    </row>
    <row r="193" spans="1:14" x14ac:dyDescent="0.35">
      <c r="A193" s="276" t="s">
        <v>130</v>
      </c>
      <c r="B193" s="227"/>
      <c r="C193" s="222"/>
      <c r="D193" s="217"/>
      <c r="E193" s="217"/>
      <c r="F193" s="217"/>
      <c r="G193" s="217"/>
      <c r="H193" s="223"/>
      <c r="I193" s="216"/>
      <c r="J193" s="581"/>
      <c r="K193" s="270"/>
      <c r="M193" s="414"/>
      <c r="N193" s="415"/>
    </row>
    <row r="194" spans="1:14" ht="19.5" customHeight="1" x14ac:dyDescent="0.35">
      <c r="A194" s="276" t="s">
        <v>107</v>
      </c>
      <c r="B194" s="227"/>
      <c r="C194" s="222"/>
      <c r="D194" s="217"/>
      <c r="E194" s="217"/>
      <c r="F194" s="217"/>
      <c r="G194" s="217"/>
      <c r="H194" s="219"/>
      <c r="I194" s="216"/>
      <c r="J194" s="581"/>
      <c r="K194" s="270"/>
      <c r="M194" s="414"/>
      <c r="N194" s="415"/>
    </row>
    <row r="195" spans="1:14" ht="18.75" customHeight="1" x14ac:dyDescent="0.35">
      <c r="A195" s="269" t="s">
        <v>110</v>
      </c>
      <c r="B195" s="221"/>
      <c r="C195" s="222"/>
      <c r="D195" s="217"/>
      <c r="E195" s="217"/>
      <c r="F195" s="217"/>
      <c r="G195" s="217"/>
      <c r="H195" s="219"/>
      <c r="I195" s="216"/>
      <c r="J195" s="581"/>
      <c r="K195" s="270"/>
      <c r="M195" s="414"/>
      <c r="N195" s="415"/>
    </row>
    <row r="196" spans="1:14" x14ac:dyDescent="0.35">
      <c r="A196" s="269"/>
      <c r="B196" s="221"/>
      <c r="C196" s="222"/>
      <c r="D196" s="217"/>
      <c r="E196" s="217"/>
      <c r="F196" s="217"/>
      <c r="G196" s="217"/>
      <c r="H196" s="219"/>
      <c r="I196" s="216"/>
      <c r="J196" s="581"/>
      <c r="K196" s="270"/>
      <c r="M196" s="414"/>
      <c r="N196" s="415"/>
    </row>
    <row r="197" spans="1:14" x14ac:dyDescent="0.35">
      <c r="A197" s="276" t="s">
        <v>273</v>
      </c>
      <c r="B197" s="221"/>
      <c r="C197" s="222"/>
      <c r="D197" s="217"/>
      <c r="E197" s="217"/>
      <c r="F197" s="217"/>
      <c r="G197" s="217"/>
      <c r="H197" s="219"/>
      <c r="I197" s="216"/>
      <c r="J197" s="581"/>
      <c r="K197" s="270"/>
      <c r="M197" s="414"/>
      <c r="N197" s="415"/>
    </row>
    <row r="198" spans="1:14" x14ac:dyDescent="0.35">
      <c r="A198" s="276" t="s">
        <v>271</v>
      </c>
      <c r="B198" s="221"/>
      <c r="C198" s="222"/>
      <c r="D198" s="217"/>
      <c r="E198" s="217"/>
      <c r="F198" s="217"/>
      <c r="G198" s="217"/>
      <c r="H198" s="219"/>
      <c r="I198" s="216"/>
      <c r="J198" s="581"/>
      <c r="K198" s="270"/>
      <c r="M198" s="414"/>
      <c r="N198" s="415"/>
    </row>
    <row r="199" spans="1:14" ht="15" thickBot="1" x14ac:dyDescent="0.4">
      <c r="A199" s="277" t="s">
        <v>272</v>
      </c>
      <c r="B199" s="278"/>
      <c r="C199" s="279"/>
      <c r="D199" s="280"/>
      <c r="E199" s="280"/>
      <c r="F199" s="280"/>
      <c r="G199" s="280"/>
      <c r="H199" s="282"/>
      <c r="I199" s="283"/>
      <c r="J199" s="582"/>
      <c r="K199" s="285"/>
      <c r="L199" s="395"/>
      <c r="M199" s="420"/>
      <c r="N199" s="421"/>
    </row>
    <row r="200" spans="1:14" x14ac:dyDescent="0.35">
      <c r="F200" s="199"/>
      <c r="G200" s="199"/>
      <c r="J200" s="583"/>
    </row>
    <row r="201" spans="1:14" x14ac:dyDescent="0.35">
      <c r="F201" s="199"/>
      <c r="G201" s="199"/>
      <c r="J201" s="583"/>
    </row>
    <row r="202" spans="1:14" x14ac:dyDescent="0.35">
      <c r="F202" s="199"/>
      <c r="G202" s="199"/>
      <c r="J202" s="583"/>
    </row>
    <row r="203" spans="1:14" x14ac:dyDescent="0.35">
      <c r="J203" s="583"/>
    </row>
    <row r="204" spans="1:14" x14ac:dyDescent="0.35">
      <c r="J204" s="583"/>
    </row>
  </sheetData>
  <mergeCells count="2">
    <mergeCell ref="A189:C189"/>
    <mergeCell ref="A190:C190"/>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282"/>
  <sheetViews>
    <sheetView topLeftCell="A211" zoomScale="70" zoomScaleNormal="70" zoomScaleSheetLayoutView="25" workbookViewId="0">
      <selection activeCell="H11" sqref="H11"/>
    </sheetView>
  </sheetViews>
  <sheetFormatPr defaultColWidth="9" defaultRowHeight="12.5" x14ac:dyDescent="0.25"/>
  <cols>
    <col min="1" max="1" width="8" style="86" customWidth="1"/>
    <col min="2" max="2" width="11.36328125" style="86" customWidth="1"/>
    <col min="3" max="3" width="40.08984375" style="86" bestFit="1" customWidth="1"/>
    <col min="4" max="4" width="14.54296875" style="86" customWidth="1"/>
    <col min="5" max="5" width="9" style="86"/>
    <col min="6" max="6" width="12.90625" style="86" customWidth="1"/>
    <col min="7" max="7" width="20.54296875" style="86" customWidth="1"/>
    <col min="8" max="9" width="20.6328125" style="86" customWidth="1"/>
    <col min="10" max="10" width="10.6328125" style="86" hidden="1" customWidth="1"/>
    <col min="11" max="11" width="11.54296875" style="86" bestFit="1" customWidth="1"/>
    <col min="12" max="12" width="9.54296875" style="86" bestFit="1" customWidth="1"/>
    <col min="13" max="18" width="9" style="86"/>
    <col min="19" max="19" width="9.36328125" style="86" bestFit="1" customWidth="1"/>
    <col min="20" max="20" width="11.81640625" style="86" bestFit="1" customWidth="1"/>
    <col min="21" max="16384" width="9" style="86"/>
  </cols>
  <sheetData>
    <row r="1" spans="1:11" ht="16" thickBot="1" x14ac:dyDescent="0.4">
      <c r="A1" s="86" t="s">
        <v>1</v>
      </c>
      <c r="B1" s="87" t="s">
        <v>1</v>
      </c>
    </row>
    <row r="2" spans="1:11" ht="13" x14ac:dyDescent="0.3">
      <c r="A2" s="438"/>
      <c r="B2" s="439" t="s">
        <v>147</v>
      </c>
      <c r="C2" s="440"/>
      <c r="D2" s="441"/>
      <c r="E2" s="441"/>
      <c r="F2" s="441"/>
      <c r="G2" s="441"/>
      <c r="H2" s="441"/>
      <c r="I2" s="441"/>
      <c r="J2" s="442"/>
    </row>
    <row r="3" spans="1:11" ht="13" thickBot="1" x14ac:dyDescent="0.3">
      <c r="A3" s="443"/>
      <c r="J3" s="115"/>
    </row>
    <row r="4" spans="1:11" ht="13" x14ac:dyDescent="0.3">
      <c r="A4" s="88"/>
      <c r="B4" s="89" t="s">
        <v>1</v>
      </c>
      <c r="C4" s="89"/>
      <c r="D4" s="89"/>
      <c r="E4" s="89"/>
      <c r="F4" s="89"/>
      <c r="G4" s="89"/>
      <c r="H4" s="89"/>
      <c r="I4" s="89"/>
      <c r="J4" s="90"/>
    </row>
    <row r="5" spans="1:11" ht="13" x14ac:dyDescent="0.3">
      <c r="A5" s="91"/>
      <c r="B5" s="92" t="s">
        <v>109</v>
      </c>
      <c r="C5" s="93"/>
      <c r="D5" s="93"/>
      <c r="E5" s="93"/>
      <c r="F5" s="93"/>
      <c r="G5" s="93"/>
      <c r="H5" s="94"/>
      <c r="I5" s="94"/>
      <c r="J5" s="95"/>
    </row>
    <row r="6" spans="1:11" ht="13" x14ac:dyDescent="0.3">
      <c r="A6" s="91"/>
      <c r="B6" s="74"/>
      <c r="C6" s="74"/>
      <c r="D6" s="74"/>
      <c r="E6" s="74"/>
      <c r="F6" s="74"/>
      <c r="G6" s="74"/>
      <c r="H6" s="74"/>
      <c r="I6" s="74"/>
      <c r="J6" s="95"/>
    </row>
    <row r="7" spans="1:11" ht="13" x14ac:dyDescent="0.3">
      <c r="A7" s="91"/>
      <c r="B7" s="96" t="s">
        <v>98</v>
      </c>
      <c r="C7" s="97"/>
      <c r="D7" s="97"/>
      <c r="E7" s="97"/>
      <c r="F7" s="97"/>
      <c r="G7" s="97"/>
      <c r="H7" s="98"/>
      <c r="I7" s="98"/>
      <c r="J7" s="95"/>
    </row>
    <row r="8" spans="1:11" ht="13.5" thickBot="1" x14ac:dyDescent="0.35">
      <c r="A8" s="91"/>
      <c r="B8" s="99"/>
      <c r="C8" s="100"/>
      <c r="D8" s="100"/>
      <c r="E8" s="100"/>
      <c r="F8" s="100"/>
      <c r="G8" s="100"/>
      <c r="H8" s="101"/>
      <c r="I8" s="101"/>
      <c r="J8" s="95"/>
    </row>
    <row r="9" spans="1:11" ht="13.5" thickBot="1" x14ac:dyDescent="0.35">
      <c r="A9" s="91"/>
      <c r="B9" s="74"/>
      <c r="C9" s="74"/>
      <c r="D9" s="74"/>
      <c r="E9" s="74"/>
      <c r="F9" s="74"/>
      <c r="G9" s="74"/>
      <c r="H9" s="102" t="s">
        <v>239</v>
      </c>
      <c r="I9" s="102" t="s">
        <v>239</v>
      </c>
      <c r="J9" s="95"/>
    </row>
    <row r="10" spans="1:11" ht="13" x14ac:dyDescent="0.3">
      <c r="A10" s="91"/>
      <c r="B10" s="74"/>
      <c r="C10" s="74"/>
      <c r="D10" s="74"/>
      <c r="E10" s="74"/>
      <c r="F10" s="74"/>
      <c r="G10" s="74"/>
      <c r="H10" s="74"/>
      <c r="I10" s="74"/>
      <c r="J10" s="95"/>
    </row>
    <row r="11" spans="1:11" ht="13" x14ac:dyDescent="0.3">
      <c r="A11" s="91"/>
      <c r="B11" s="74"/>
      <c r="C11" s="74"/>
      <c r="D11" s="74"/>
      <c r="E11" s="74"/>
      <c r="F11" s="74"/>
      <c r="G11" s="74"/>
      <c r="H11" s="103" t="str">
        <f>+'Unit tariffs'!E11</f>
        <v>2025/2026</v>
      </c>
      <c r="I11" s="103" t="str">
        <f>+'Unit tariffs'!F11</f>
        <v>2026/2027</v>
      </c>
      <c r="J11" s="444" t="s">
        <v>313</v>
      </c>
    </row>
    <row r="12" spans="1:11" ht="13" x14ac:dyDescent="0.3">
      <c r="A12" s="91"/>
      <c r="B12" s="104" t="s">
        <v>41</v>
      </c>
      <c r="C12" s="74"/>
      <c r="D12" s="74"/>
      <c r="E12" s="74"/>
      <c r="F12" s="74"/>
      <c r="G12" s="74"/>
      <c r="H12" s="74"/>
      <c r="I12" s="74"/>
      <c r="J12" s="95"/>
    </row>
    <row r="13" spans="1:11" ht="13" x14ac:dyDescent="0.3">
      <c r="A13" s="91"/>
      <c r="B13" s="74"/>
      <c r="C13" s="74"/>
      <c r="D13" s="74"/>
      <c r="E13" s="74"/>
      <c r="F13" s="74"/>
      <c r="G13" s="74"/>
      <c r="H13" s="74"/>
      <c r="I13" s="74"/>
      <c r="J13" s="95"/>
    </row>
    <row r="14" spans="1:11" ht="13" x14ac:dyDescent="0.3">
      <c r="A14" s="91"/>
      <c r="B14" s="74">
        <v>37</v>
      </c>
      <c r="C14" s="74" t="str">
        <f>'Unit tariffs'!B68</f>
        <v>10 mm Copper Airdac cable</v>
      </c>
      <c r="D14" s="74"/>
      <c r="E14" s="74"/>
      <c r="F14" s="74"/>
      <c r="G14" s="74"/>
      <c r="H14" s="76">
        <v>1665.1819586000004</v>
      </c>
      <c r="I14" s="76">
        <f>VLOOKUP($C14,'Unit tariffs'!$B$21:$F$123,5,FALSE)*$B14</f>
        <v>366.65195916999994</v>
      </c>
      <c r="J14" s="457" t="e">
        <f>IF(+I14*'Unit tariffs'!#REF!&gt;'Unit tariffs'!#REF!,'Unit tariffs'!#REF!,+I14*'Unit tariffs'!#REF!)</f>
        <v>#REF!</v>
      </c>
      <c r="K14" s="645">
        <f t="shared" ref="K14:K20" si="0">+(I14-H14)/H14</f>
        <v>-0.77981267616047067</v>
      </c>
    </row>
    <row r="15" spans="1:11" ht="13" x14ac:dyDescent="0.3">
      <c r="A15" s="91"/>
      <c r="B15" s="74">
        <v>2</v>
      </c>
      <c r="C15" s="74" t="str">
        <f>'Unit tariffs'!B69</f>
        <v>Strain clamp - Airdac</v>
      </c>
      <c r="D15" s="74"/>
      <c r="E15" s="74"/>
      <c r="F15" s="74"/>
      <c r="G15" s="74"/>
      <c r="H15" s="76">
        <v>39.704944968653997</v>
      </c>
      <c r="I15" s="76">
        <f>VLOOKUP($C15,'Unit tariffs'!$B$21:$F$123,5,FALSE)*$B15</f>
        <v>32.429077100000001</v>
      </c>
      <c r="J15" s="457" t="e">
        <f>IF(+I15*'Unit tariffs'!#REF!&gt;'Unit tariffs'!#REF!,'Unit tariffs'!#REF!,+I15*'Unit tariffs'!#REF!)</f>
        <v>#REF!</v>
      </c>
      <c r="K15" s="645">
        <f t="shared" si="0"/>
        <v>-0.18324840581942883</v>
      </c>
    </row>
    <row r="16" spans="1:11" ht="13" x14ac:dyDescent="0.3">
      <c r="A16" s="91"/>
      <c r="B16" s="74">
        <v>1</v>
      </c>
      <c r="C16" s="74" t="str">
        <f>'Unit tariffs'!B34</f>
        <v>METER:S/P WIRED PRE-PAID</v>
      </c>
      <c r="D16" s="74"/>
      <c r="E16" s="74"/>
      <c r="F16" s="74"/>
      <c r="G16" s="74"/>
      <c r="H16" s="76">
        <v>2262.7591214051877</v>
      </c>
      <c r="I16" s="76">
        <f>VLOOKUP($C16,'Unit tariffs'!$B$21:$F$123,5,FALSE)*$B16</f>
        <v>2142.3529679999997</v>
      </c>
      <c r="J16" s="457" t="e">
        <f>IF(+I16*'Unit tariffs'!#REF!&gt;'Unit tariffs'!#REF!,'Unit tariffs'!#REF!,+I16*'Unit tariffs'!#REF!)</f>
        <v>#REF!</v>
      </c>
      <c r="K16" s="645">
        <f t="shared" si="0"/>
        <v>-5.3212095033082885E-2</v>
      </c>
    </row>
    <row r="17" spans="1:11" ht="13" x14ac:dyDescent="0.3">
      <c r="A17" s="91"/>
      <c r="B17" s="74">
        <v>1</v>
      </c>
      <c r="C17" s="74" t="str">
        <f>+'Unit tariffs'!B40</f>
        <v>Baseplate - PP only</v>
      </c>
      <c r="D17" s="74"/>
      <c r="E17" s="74"/>
      <c r="F17" s="74"/>
      <c r="G17" s="74"/>
      <c r="H17" s="76">
        <v>458.192408</v>
      </c>
      <c r="I17" s="76">
        <f>VLOOKUP($C17,'Unit tariffs'!$B$21:$F$123,5,FALSE)*$B17</f>
        <v>1259.8752949999998</v>
      </c>
      <c r="J17" s="457" t="e">
        <f>IF(+I17*'Unit tariffs'!#REF!&gt;'Unit tariffs'!#REF!,'Unit tariffs'!#REF!,+I17*'Unit tariffs'!#REF!)</f>
        <v>#REF!</v>
      </c>
      <c r="K17" s="645">
        <f t="shared" si="0"/>
        <v>1.7496642742277821</v>
      </c>
    </row>
    <row r="18" spans="1:11" ht="13" x14ac:dyDescent="0.3">
      <c r="A18" s="91"/>
      <c r="B18" s="74">
        <v>1</v>
      </c>
      <c r="C18" s="74" t="str">
        <f>'Unit tariffs'!B21</f>
        <v>Installation material</v>
      </c>
      <c r="D18" s="74"/>
      <c r="E18" s="74"/>
      <c r="F18" s="74"/>
      <c r="G18" s="74"/>
      <c r="H18" s="76">
        <v>271.44100000000003</v>
      </c>
      <c r="I18" s="76">
        <f>VLOOKUP($C18,'Unit tariffs'!$B$21:$F$123,5,FALSE)*$B18</f>
        <v>282.48325</v>
      </c>
      <c r="J18" s="457" t="e">
        <f>IF(+I18*'Unit tariffs'!#REF!&gt;'Unit tariffs'!#REF!,'Unit tariffs'!#REF!,+I18*'Unit tariffs'!#REF!)</f>
        <v>#REF!</v>
      </c>
      <c r="K18" s="645">
        <f t="shared" si="0"/>
        <v>4.0680110963339976E-2</v>
      </c>
    </row>
    <row r="19" spans="1:11" ht="13" x14ac:dyDescent="0.3">
      <c r="A19" s="91"/>
      <c r="B19" s="74">
        <v>1</v>
      </c>
      <c r="C19" s="74" t="str">
        <f>'Unit tariffs'!B24</f>
        <v>L-Bracket</v>
      </c>
      <c r="D19" s="74"/>
      <c r="E19" s="74"/>
      <c r="F19" s="74"/>
      <c r="G19" s="74"/>
      <c r="H19" s="76">
        <v>89.032648000000009</v>
      </c>
      <c r="I19" s="76">
        <f>VLOOKUP($C19,'Unit tariffs'!$B$21:$F$123,5,FALSE)*$B19</f>
        <v>616.94341799999995</v>
      </c>
      <c r="J19" s="457" t="e">
        <f>IF(+I19*'Unit tariffs'!#REF!&gt;'Unit tariffs'!#REF!,'Unit tariffs'!#REF!,+I19*'Unit tariffs'!#REF!)</f>
        <v>#REF!</v>
      </c>
      <c r="K19" s="645">
        <f t="shared" si="0"/>
        <v>5.9294065925119952</v>
      </c>
    </row>
    <row r="20" spans="1:11" ht="13" x14ac:dyDescent="0.3">
      <c r="A20" s="91"/>
      <c r="B20" s="74">
        <v>1</v>
      </c>
      <c r="C20" s="74" t="str">
        <f>'Unit tariffs'!B22</f>
        <v>25 mm bend</v>
      </c>
      <c r="D20" s="74"/>
      <c r="E20" s="74"/>
      <c r="F20" s="74"/>
      <c r="G20" s="74"/>
      <c r="H20" s="81">
        <v>30.803124680000003</v>
      </c>
      <c r="I20" s="81">
        <f>VLOOKUP($C20,'Unit tariffs'!$B$21:$F$123,5,FALSE)*$B20</f>
        <v>32.056199209999996</v>
      </c>
      <c r="J20" s="457" t="e">
        <f>IF(+I20*'Unit tariffs'!#REF!&gt;'Unit tariffs'!#REF!,'Unit tariffs'!#REF!,+I20*'Unit tariffs'!#REF!)</f>
        <v>#REF!</v>
      </c>
      <c r="K20" s="645">
        <f t="shared" si="0"/>
        <v>4.0680110963339837E-2</v>
      </c>
    </row>
    <row r="21" spans="1:11" ht="13" x14ac:dyDescent="0.3">
      <c r="A21" s="91"/>
      <c r="B21" s="74"/>
      <c r="C21" s="74"/>
      <c r="D21" s="74"/>
      <c r="E21" s="74"/>
      <c r="F21" s="74"/>
      <c r="G21" s="74"/>
      <c r="H21" s="76">
        <v>4817.1152056538422</v>
      </c>
      <c r="I21" s="76">
        <f>SUM(I14:I20)</f>
        <v>4732.7921664799997</v>
      </c>
      <c r="J21" s="105"/>
    </row>
    <row r="22" spans="1:11" ht="13" x14ac:dyDescent="0.3">
      <c r="A22" s="91"/>
      <c r="B22" s="74"/>
      <c r="C22" s="74"/>
      <c r="D22" s="74"/>
      <c r="E22" s="74"/>
      <c r="F22" s="74"/>
      <c r="G22" s="74"/>
      <c r="H22" s="76"/>
      <c r="I22" s="76"/>
      <c r="J22" s="105"/>
      <c r="K22" s="645"/>
    </row>
    <row r="23" spans="1:11" ht="13" x14ac:dyDescent="0.3">
      <c r="A23" s="91"/>
      <c r="B23" s="104" t="s">
        <v>42</v>
      </c>
      <c r="C23" s="74"/>
      <c r="D23" s="74"/>
      <c r="E23" s="74"/>
      <c r="F23" s="74"/>
      <c r="G23" s="74"/>
      <c r="H23" s="74"/>
      <c r="I23" s="74"/>
      <c r="J23" s="95"/>
    </row>
    <row r="24" spans="1:11" ht="13" x14ac:dyDescent="0.3">
      <c r="A24" s="91"/>
      <c r="B24" s="74"/>
      <c r="C24" s="74"/>
      <c r="D24" s="74"/>
      <c r="E24" s="74"/>
      <c r="F24" s="74"/>
      <c r="G24" s="74"/>
      <c r="H24" s="74"/>
      <c r="I24" s="74"/>
      <c r="J24" s="95"/>
    </row>
    <row r="25" spans="1:11" ht="13" x14ac:dyDescent="0.3">
      <c r="A25" s="91"/>
      <c r="B25" s="74">
        <v>0.8</v>
      </c>
      <c r="C25" s="74" t="str">
        <f>'Unit tariffs'!B$87</f>
        <v xml:space="preserve">hour-artisan </v>
      </c>
      <c r="D25" s="74"/>
      <c r="E25" s="74"/>
      <c r="F25" s="74"/>
      <c r="G25" s="74"/>
      <c r="H25" s="76">
        <v>258.28178538461538</v>
      </c>
      <c r="I25" s="76">
        <f>VLOOKUP($C25,'Unit tariffs'!$B$21:$F$123,5,FALSE)*$B25</f>
        <v>280.95421292307697</v>
      </c>
      <c r="J25" s="105"/>
    </row>
    <row r="26" spans="1:11" ht="13" x14ac:dyDescent="0.3">
      <c r="A26" s="91"/>
      <c r="B26" s="74">
        <v>1.6</v>
      </c>
      <c r="C26" s="74" t="str">
        <f>'Unit tariffs'!B$85</f>
        <v>hour-artisan assistant</v>
      </c>
      <c r="D26" s="74"/>
      <c r="E26" s="74"/>
      <c r="F26" s="74"/>
      <c r="G26" s="74"/>
      <c r="H26" s="81">
        <v>205.65729230769236</v>
      </c>
      <c r="I26" s="81">
        <f>VLOOKUP($C26,'Unit tariffs'!$B$21:$F$123,5,FALSE)*$B26</f>
        <v>223.71881353846157</v>
      </c>
      <c r="J26" s="105"/>
    </row>
    <row r="27" spans="1:11" ht="13" x14ac:dyDescent="0.3">
      <c r="A27" s="91"/>
      <c r="B27" s="74"/>
      <c r="C27" s="74"/>
      <c r="D27" s="74"/>
      <c r="E27" s="74"/>
      <c r="F27" s="74"/>
      <c r="G27" s="74"/>
      <c r="H27" s="76">
        <v>463.93907769230771</v>
      </c>
      <c r="I27" s="76">
        <f>SUM(I25:I26)</f>
        <v>504.67302646153854</v>
      </c>
      <c r="J27" s="105"/>
      <c r="K27" s="645">
        <f>+(I27-H27)/H27</f>
        <v>8.7800210691125022E-2</v>
      </c>
    </row>
    <row r="28" spans="1:11" ht="13" x14ac:dyDescent="0.3">
      <c r="A28" s="91"/>
      <c r="B28" s="104" t="s">
        <v>43</v>
      </c>
      <c r="C28" s="74"/>
      <c r="D28" s="74"/>
      <c r="E28" s="74"/>
      <c r="F28" s="74"/>
      <c r="G28" s="74"/>
      <c r="H28" s="74"/>
      <c r="I28" s="74"/>
      <c r="J28" s="95"/>
    </row>
    <row r="29" spans="1:11" ht="13" x14ac:dyDescent="0.3">
      <c r="A29" s="91"/>
      <c r="B29" s="74"/>
      <c r="C29" s="74"/>
      <c r="D29" s="74"/>
      <c r="E29" s="74"/>
      <c r="F29" s="74"/>
      <c r="G29" s="74"/>
      <c r="H29" s="74"/>
      <c r="I29" s="74"/>
      <c r="J29" s="95"/>
    </row>
    <row r="30" spans="1:11" ht="13" x14ac:dyDescent="0.3">
      <c r="A30" s="91"/>
      <c r="B30" s="74">
        <v>24</v>
      </c>
      <c r="C30" s="74" t="str">
        <f>'Unit tariffs'!B$111</f>
        <v>km-truck with platform</v>
      </c>
      <c r="D30" s="74"/>
      <c r="E30" s="74"/>
      <c r="F30" s="74"/>
      <c r="G30" s="74"/>
      <c r="H30" s="76">
        <v>1010.8920834182238</v>
      </c>
      <c r="I30" s="76">
        <f>VLOOKUP($C30,'Unit tariffs'!$B$21:$F$123,5,FALSE)*$B30</f>
        <v>1182.7997218118533</v>
      </c>
      <c r="J30" s="105"/>
    </row>
    <row r="31" spans="1:11" ht="13" x14ac:dyDescent="0.3">
      <c r="A31" s="91"/>
      <c r="B31" s="74">
        <v>1</v>
      </c>
      <c r="C31" s="74" t="str">
        <f>'Unit tariffs'!B$112</f>
        <v>hour-truck with platform</v>
      </c>
      <c r="D31" s="74"/>
      <c r="E31" s="74"/>
      <c r="F31" s="74"/>
      <c r="G31" s="74"/>
      <c r="H31" s="81">
        <v>204.98441731167313</v>
      </c>
      <c r="I31" s="81">
        <f>VLOOKUP($C31,'Unit tariffs'!$B$21:$F$123,5,FALSE)*$B31</f>
        <v>239.8431204962792</v>
      </c>
      <c r="J31" s="105"/>
    </row>
    <row r="32" spans="1:11" ht="13.5" thickBot="1" x14ac:dyDescent="0.35">
      <c r="A32" s="91"/>
      <c r="B32" s="74"/>
      <c r="C32" s="74"/>
      <c r="D32" s="74"/>
      <c r="E32" s="74"/>
      <c r="F32" s="74"/>
      <c r="G32" s="74"/>
      <c r="H32" s="107">
        <v>1215.8765007298969</v>
      </c>
      <c r="I32" s="107">
        <f>SUM(I30:I31)</f>
        <v>1422.6428423081325</v>
      </c>
      <c r="J32" s="105"/>
    </row>
    <row r="33" spans="1:11" ht="13.5" thickTop="1" x14ac:dyDescent="0.3">
      <c r="A33" s="91"/>
      <c r="B33" s="74"/>
      <c r="C33" s="74"/>
      <c r="D33" s="74"/>
      <c r="E33" s="74"/>
      <c r="F33" s="74"/>
      <c r="G33" s="74"/>
      <c r="H33" s="76">
        <v>6496.9307840760466</v>
      </c>
      <c r="I33" s="76">
        <f>I32+I27+I21</f>
        <v>6660.1080352496701</v>
      </c>
      <c r="J33" s="105"/>
    </row>
    <row r="34" spans="1:11" ht="13.5" thickBot="1" x14ac:dyDescent="0.35">
      <c r="A34" s="91"/>
      <c r="B34" s="104" t="str">
        <f>'Unit tariffs'!$B$7</f>
        <v>Administration Levy (Indirect Cost)</v>
      </c>
      <c r="C34" s="74"/>
      <c r="D34" s="106">
        <f>'Unit tariffs'!$C$7</f>
        <v>0.1</v>
      </c>
      <c r="E34" s="74" t="s">
        <v>311</v>
      </c>
      <c r="F34" s="186">
        <f>+'Unit tariffs'!$F$7</f>
        <v>10000</v>
      </c>
      <c r="G34" s="74"/>
      <c r="H34" s="108">
        <v>649.69307840760473</v>
      </c>
      <c r="I34" s="108">
        <f>IF(I33*$D34&gt;='Unit tariffs'!$E$7,'Unit tariffs'!$E$7,I33*$D34)</f>
        <v>666.01080352496706</v>
      </c>
      <c r="J34" s="105"/>
    </row>
    <row r="35" spans="1:11" ht="13.5" thickTop="1" x14ac:dyDescent="0.3">
      <c r="A35" s="91"/>
      <c r="B35" s="104" t="s">
        <v>44</v>
      </c>
      <c r="C35" s="74"/>
      <c r="D35" s="74"/>
      <c r="E35" s="74"/>
      <c r="F35" s="74"/>
      <c r="G35" s="74"/>
      <c r="H35" s="109">
        <v>7146.6238624836515</v>
      </c>
      <c r="I35" s="109">
        <f>SUM(I33:I34)</f>
        <v>7326.118838774637</v>
      </c>
      <c r="J35" s="105"/>
      <c r="K35" s="645">
        <f>+(I35-H35)/H35</f>
        <v>2.5116051963116188E-2</v>
      </c>
    </row>
    <row r="36" spans="1:11" ht="13" x14ac:dyDescent="0.3">
      <c r="A36" s="91"/>
      <c r="B36" s="74"/>
      <c r="C36" s="74"/>
      <c r="D36" s="74"/>
      <c r="E36" s="74"/>
      <c r="F36" s="74"/>
      <c r="G36" s="74"/>
      <c r="H36" s="74"/>
      <c r="I36" s="74"/>
      <c r="J36" s="95"/>
    </row>
    <row r="37" spans="1:11" ht="13" x14ac:dyDescent="0.3">
      <c r="A37" s="91"/>
      <c r="B37" s="104" t="s">
        <v>45</v>
      </c>
      <c r="C37" s="74"/>
      <c r="D37" s="74"/>
      <c r="E37" s="74"/>
      <c r="F37" s="74"/>
      <c r="G37" s="74"/>
      <c r="H37" s="84">
        <v>7150</v>
      </c>
      <c r="I37" s="84">
        <f>ROUND(I35,-1)</f>
        <v>7330</v>
      </c>
      <c r="J37" s="110"/>
      <c r="K37" s="111"/>
    </row>
    <row r="38" spans="1:11" ht="13" x14ac:dyDescent="0.3">
      <c r="A38" s="91"/>
      <c r="B38" s="74"/>
      <c r="C38" s="74"/>
      <c r="D38" s="74"/>
      <c r="E38" s="74"/>
      <c r="F38" s="74"/>
      <c r="G38" s="74"/>
      <c r="H38" s="76"/>
      <c r="I38" s="76"/>
      <c r="J38" s="105"/>
    </row>
    <row r="39" spans="1:11" ht="13" x14ac:dyDescent="0.3">
      <c r="A39" s="91"/>
      <c r="B39" s="74"/>
      <c r="C39" s="74"/>
      <c r="D39" s="74"/>
      <c r="E39" s="74"/>
      <c r="F39" s="74"/>
      <c r="G39" s="74"/>
      <c r="H39" s="112">
        <v>0</v>
      </c>
      <c r="I39" s="112">
        <f>+(I37-H37)/H37</f>
        <v>2.5174825174825177E-2</v>
      </c>
      <c r="J39" s="113"/>
    </row>
    <row r="40" spans="1:11" ht="13" x14ac:dyDescent="0.3">
      <c r="A40" s="91"/>
      <c r="B40" s="74"/>
      <c r="C40" s="74"/>
      <c r="D40" s="74"/>
      <c r="E40" s="74"/>
      <c r="F40" s="74"/>
      <c r="G40" s="74"/>
      <c r="H40" s="112"/>
      <c r="I40" s="112"/>
      <c r="J40" s="113"/>
    </row>
    <row r="41" spans="1:11" ht="26" hidden="1" x14ac:dyDescent="0.3">
      <c r="A41" s="91"/>
      <c r="B41" s="114" t="s">
        <v>56</v>
      </c>
      <c r="C41" s="114" t="s">
        <v>115</v>
      </c>
      <c r="D41" s="114" t="s">
        <v>116</v>
      </c>
      <c r="E41" s="114" t="s">
        <v>57</v>
      </c>
      <c r="F41" s="74"/>
      <c r="J41" s="115"/>
    </row>
    <row r="42" spans="1:11" ht="13" hidden="1" x14ac:dyDescent="0.3">
      <c r="A42" s="91"/>
      <c r="B42" s="962" t="s">
        <v>114</v>
      </c>
      <c r="C42" s="963"/>
      <c r="D42" s="963"/>
      <c r="E42" s="964"/>
      <c r="F42" s="74"/>
      <c r="G42" s="74"/>
      <c r="J42" s="115"/>
    </row>
    <row r="43" spans="1:11" ht="13" hidden="1" x14ac:dyDescent="0.3">
      <c r="A43" s="91"/>
      <c r="B43" s="116">
        <v>964.91</v>
      </c>
      <c r="C43" s="116">
        <f>1.21*30</f>
        <v>36.299999999999997</v>
      </c>
      <c r="D43" s="116">
        <f>0.95*30</f>
        <v>28.5</v>
      </c>
      <c r="E43" s="116">
        <v>0.2646</v>
      </c>
      <c r="F43" s="74"/>
      <c r="G43" s="74"/>
      <c r="J43" s="115"/>
    </row>
    <row r="44" spans="1:11" ht="13" hidden="1" x14ac:dyDescent="0.3">
      <c r="A44" s="91"/>
      <c r="B44" s="962" t="s">
        <v>207</v>
      </c>
      <c r="C44" s="963"/>
      <c r="D44" s="963"/>
      <c r="E44" s="964"/>
      <c r="F44" s="74"/>
      <c r="G44" s="74"/>
      <c r="H44" s="112"/>
      <c r="I44" s="112"/>
      <c r="J44" s="113"/>
    </row>
    <row r="45" spans="1:11" ht="13" hidden="1" x14ac:dyDescent="0.3">
      <c r="A45" s="91"/>
      <c r="B45" s="116">
        <f>I37</f>
        <v>7330</v>
      </c>
      <c r="C45" s="116">
        <v>0</v>
      </c>
      <c r="D45" s="116">
        <v>0</v>
      </c>
      <c r="E45" s="116">
        <v>0.37</v>
      </c>
      <c r="F45" s="74"/>
      <c r="G45" s="74"/>
      <c r="H45" s="112"/>
      <c r="I45" s="112"/>
      <c r="J45" s="113"/>
    </row>
    <row r="46" spans="1:11" ht="13.5" thickBot="1" x14ac:dyDescent="0.35">
      <c r="A46" s="117"/>
      <c r="B46" s="118"/>
      <c r="C46" s="118"/>
      <c r="D46" s="118"/>
      <c r="E46" s="118"/>
      <c r="F46" s="118"/>
      <c r="G46" s="118"/>
      <c r="H46" s="118"/>
      <c r="I46" s="118"/>
      <c r="J46" s="119"/>
    </row>
    <row r="47" spans="1:11" ht="13" x14ac:dyDescent="0.3">
      <c r="A47" s="91"/>
      <c r="B47" s="74"/>
      <c r="C47" s="74"/>
      <c r="D47" s="74"/>
      <c r="E47" s="74"/>
      <c r="F47" s="74"/>
      <c r="G47" s="74"/>
      <c r="H47" s="74"/>
      <c r="I47" s="74"/>
      <c r="J47" s="95"/>
    </row>
    <row r="48" spans="1:11" ht="13.5" thickBot="1" x14ac:dyDescent="0.35">
      <c r="A48" s="91"/>
      <c r="B48" s="74"/>
      <c r="C48" s="74"/>
      <c r="D48" s="74"/>
      <c r="E48" s="74"/>
      <c r="F48" s="74"/>
      <c r="G48" s="74"/>
      <c r="H48" s="74"/>
      <c r="I48" s="74"/>
      <c r="J48" s="95"/>
    </row>
    <row r="49" spans="1:12" ht="13.5" thickTop="1" x14ac:dyDescent="0.3">
      <c r="A49" s="445"/>
      <c r="B49" s="120" t="s">
        <v>1</v>
      </c>
      <c r="C49" s="120"/>
      <c r="D49" s="120"/>
      <c r="E49" s="120"/>
      <c r="F49" s="120"/>
      <c r="G49" s="120"/>
      <c r="H49" s="120"/>
      <c r="I49" s="120"/>
      <c r="J49" s="446"/>
    </row>
    <row r="50" spans="1:12" ht="13" x14ac:dyDescent="0.3">
      <c r="A50" s="91"/>
      <c r="B50" s="96" t="s">
        <v>457</v>
      </c>
      <c r="C50" s="97"/>
      <c r="D50" s="97"/>
      <c r="E50" s="97"/>
      <c r="F50" s="97"/>
      <c r="G50" s="97"/>
      <c r="H50" s="98"/>
      <c r="I50" s="98"/>
      <c r="J50" s="95"/>
    </row>
    <row r="51" spans="1:12" ht="13.5" thickBot="1" x14ac:dyDescent="0.35">
      <c r="A51" s="91"/>
      <c r="B51" s="99"/>
      <c r="C51" s="100"/>
      <c r="D51" s="100"/>
      <c r="E51" s="100"/>
      <c r="F51" s="100"/>
      <c r="G51" s="100"/>
      <c r="H51" s="121"/>
      <c r="I51" s="121"/>
      <c r="J51" s="95"/>
    </row>
    <row r="52" spans="1:12" ht="13.5" thickBot="1" x14ac:dyDescent="0.35">
      <c r="A52" s="91"/>
      <c r="B52" s="122"/>
      <c r="C52" s="74"/>
      <c r="D52" s="74"/>
      <c r="E52" s="74"/>
      <c r="F52" s="74"/>
      <c r="G52" s="74"/>
      <c r="H52" s="102" t="s">
        <v>239</v>
      </c>
      <c r="I52" s="102" t="s">
        <v>239</v>
      </c>
      <c r="J52" s="95"/>
    </row>
    <row r="53" spans="1:12" ht="13" x14ac:dyDescent="0.3">
      <c r="A53" s="91"/>
      <c r="B53" s="122"/>
      <c r="C53" s="74"/>
      <c r="D53" s="74"/>
      <c r="E53" s="74" t="s">
        <v>1</v>
      </c>
      <c r="F53" s="74"/>
      <c r="G53" s="74"/>
      <c r="H53" s="74"/>
      <c r="I53" s="74"/>
      <c r="J53" s="444"/>
    </row>
    <row r="54" spans="1:12" ht="13" x14ac:dyDescent="0.3">
      <c r="A54" s="91"/>
      <c r="B54" s="74"/>
      <c r="C54" s="74"/>
      <c r="D54" s="74"/>
      <c r="E54" s="74"/>
      <c r="F54" s="74"/>
      <c r="G54" s="74"/>
      <c r="H54" s="103" t="str">
        <f>+'Unit tariffs'!$F$11</f>
        <v>2026/2027</v>
      </c>
      <c r="I54" s="103" t="str">
        <f>+'Unit tariffs'!$F$11</f>
        <v>2026/2027</v>
      </c>
      <c r="J54" s="444" t="s">
        <v>313</v>
      </c>
    </row>
    <row r="55" spans="1:12" ht="13" x14ac:dyDescent="0.3">
      <c r="A55" s="91"/>
      <c r="B55" s="104" t="s">
        <v>41</v>
      </c>
      <c r="C55" s="74"/>
      <c r="D55" s="74"/>
      <c r="E55" s="74"/>
      <c r="F55" s="74"/>
      <c r="G55" s="74"/>
      <c r="H55" s="76"/>
      <c r="I55" s="76"/>
      <c r="J55" s="95"/>
    </row>
    <row r="56" spans="1:12" ht="13" x14ac:dyDescent="0.3">
      <c r="A56" s="91"/>
      <c r="B56" s="104"/>
      <c r="C56" s="74"/>
      <c r="D56" s="74"/>
      <c r="E56" s="74"/>
      <c r="F56" s="74"/>
      <c r="G56" s="74"/>
      <c r="H56" s="76"/>
      <c r="I56" s="76"/>
      <c r="J56" s="95"/>
    </row>
    <row r="57" spans="1:12" ht="13" x14ac:dyDescent="0.3">
      <c r="A57" s="91"/>
      <c r="B57" s="74">
        <v>37</v>
      </c>
      <c r="C57" s="74" t="str">
        <f>'Unit tariffs'!B68</f>
        <v>10 mm Copper Airdac cable</v>
      </c>
      <c r="D57" s="74"/>
      <c r="E57" s="74"/>
      <c r="F57" s="74"/>
      <c r="G57" s="74"/>
      <c r="H57" s="76">
        <v>1665.1819586000004</v>
      </c>
      <c r="I57" s="76">
        <f>VLOOKUP($C57,'Unit tariffs'!$B$21:$F$123,5,FALSE)*$B57</f>
        <v>366.65195916999994</v>
      </c>
      <c r="J57" s="95"/>
    </row>
    <row r="58" spans="1:12" ht="13" x14ac:dyDescent="0.3">
      <c r="A58" s="91"/>
      <c r="B58" s="74">
        <v>2</v>
      </c>
      <c r="C58" s="74" t="str">
        <f>'Unit tariffs'!B69</f>
        <v>Strain clamp - Airdac</v>
      </c>
      <c r="D58" s="74"/>
      <c r="E58" s="74"/>
      <c r="F58" s="74"/>
      <c r="G58" s="74"/>
      <c r="H58" s="76">
        <v>39.704944968653997</v>
      </c>
      <c r="I58" s="76">
        <f>VLOOKUP($C58,'Unit tariffs'!$B$21:$F$123,5,FALSE)*$B58</f>
        <v>32.429077100000001</v>
      </c>
      <c r="J58" s="95"/>
    </row>
    <row r="59" spans="1:12" ht="13" x14ac:dyDescent="0.3">
      <c r="A59" s="91"/>
      <c r="B59" s="74">
        <v>1</v>
      </c>
      <c r="C59" s="74" t="str">
        <f>'Unit tariffs'!B34</f>
        <v>METER:S/P WIRED PRE-PAID</v>
      </c>
      <c r="D59" s="74"/>
      <c r="E59" s="74"/>
      <c r="F59" s="74"/>
      <c r="G59" s="74"/>
      <c r="H59" s="76">
        <v>2262.7591214051877</v>
      </c>
      <c r="I59" s="76">
        <f>VLOOKUP($C59,'Unit tariffs'!$B$21:$F$123,5,FALSE)*$B59</f>
        <v>2142.3529679999997</v>
      </c>
      <c r="J59" s="95"/>
    </row>
    <row r="60" spans="1:12" ht="13" x14ac:dyDescent="0.3">
      <c r="A60" s="91"/>
      <c r="B60" s="74">
        <v>1</v>
      </c>
      <c r="C60" s="74" t="str">
        <f>'Unit tariffs'!B39</f>
        <v>Ready board only</v>
      </c>
      <c r="D60" s="74"/>
      <c r="E60" s="74"/>
      <c r="F60" s="74"/>
      <c r="G60" s="74"/>
      <c r="H60" s="76">
        <v>662.31604000000004</v>
      </c>
      <c r="I60" s="76">
        <f>VLOOKUP($C60,'Unit tariffs'!$B$21:$F$123,5,FALSE)*$B60</f>
        <v>476.83172599999995</v>
      </c>
      <c r="J60" s="457" t="e">
        <f>IF(+I60*'Unit tariffs'!#REF!&gt;'Unit tariffs'!#REF!,'Unit tariffs'!#REF!,+I60*'Unit tariffs'!#REF!)</f>
        <v>#REF!</v>
      </c>
    </row>
    <row r="61" spans="1:12" ht="13" x14ac:dyDescent="0.3">
      <c r="A61" s="91"/>
      <c r="B61" s="74">
        <v>1</v>
      </c>
      <c r="C61" s="74" t="str">
        <f>'Unit tariffs'!B21</f>
        <v>Installation material</v>
      </c>
      <c r="D61" s="74"/>
      <c r="E61" s="74"/>
      <c r="F61" s="74"/>
      <c r="G61" s="74"/>
      <c r="H61" s="76">
        <v>271.44100000000003</v>
      </c>
      <c r="I61" s="76">
        <f>VLOOKUP($C61,'Unit tariffs'!$B$21:$F$123,5,FALSE)*$B61</f>
        <v>282.48325</v>
      </c>
      <c r="J61" s="457" t="e">
        <f>IF(+I61*'Unit tariffs'!#REF!&gt;'Unit tariffs'!#REF!,'Unit tariffs'!#REF!,+I61*'Unit tariffs'!#REF!)</f>
        <v>#REF!</v>
      </c>
    </row>
    <row r="62" spans="1:12" ht="13" x14ac:dyDescent="0.3">
      <c r="A62" s="91"/>
      <c r="B62" s="74">
        <v>1</v>
      </c>
      <c r="C62" s="74" t="str">
        <f>'Unit tariffs'!B24</f>
        <v>L-Bracket</v>
      </c>
      <c r="D62" s="74"/>
      <c r="E62" s="74"/>
      <c r="F62" s="74"/>
      <c r="G62" s="74"/>
      <c r="H62" s="76">
        <v>89.032648000000009</v>
      </c>
      <c r="I62" s="76">
        <f>VLOOKUP($C62,'Unit tariffs'!$B$21:$F$123,5,FALSE)*$B62</f>
        <v>616.94341799999995</v>
      </c>
      <c r="J62" s="457" t="e">
        <f>IF(+I62*'Unit tariffs'!#REF!&gt;'Unit tariffs'!#REF!,'Unit tariffs'!#REF!,+I62*'Unit tariffs'!#REF!)</f>
        <v>#REF!</v>
      </c>
    </row>
    <row r="63" spans="1:12" ht="13" x14ac:dyDescent="0.3">
      <c r="A63" s="91"/>
      <c r="B63" s="74">
        <v>1</v>
      </c>
      <c r="C63" s="74" t="str">
        <f>'Unit tariffs'!B22</f>
        <v>25 mm bend</v>
      </c>
      <c r="D63" s="74"/>
      <c r="E63" s="74"/>
      <c r="F63" s="74"/>
      <c r="G63" s="74"/>
      <c r="H63" s="76">
        <v>30.803124680000003</v>
      </c>
      <c r="I63" s="76">
        <f>VLOOKUP($C63,'Unit tariffs'!$B$21:$F$123,5,FALSE)*$B63</f>
        <v>32.056199209999996</v>
      </c>
      <c r="J63" s="457"/>
      <c r="L63" s="646" t="s">
        <v>460</v>
      </c>
    </row>
    <row r="64" spans="1:12" ht="13" x14ac:dyDescent="0.3">
      <c r="A64" s="91"/>
      <c r="B64" s="74">
        <v>0.5</v>
      </c>
      <c r="C64" s="74" t="str">
        <f>'Unit tariffs'!B29</f>
        <v>One way Stubby box</v>
      </c>
      <c r="D64" s="74"/>
      <c r="E64" s="74"/>
      <c r="F64" s="74"/>
      <c r="G64" s="74"/>
      <c r="H64" s="76">
        <v>1031.8784069154576</v>
      </c>
      <c r="I64" s="76">
        <f>VLOOKUP($C64,'Unit tariffs'!$B$21:$F$123,5,FALSE)*$B64</f>
        <v>1014.2052621399999</v>
      </c>
      <c r="J64" s="457"/>
    </row>
    <row r="65" spans="1:10" ht="13" x14ac:dyDescent="0.3">
      <c r="A65" s="91"/>
      <c r="B65" s="74">
        <v>1</v>
      </c>
      <c r="C65" s="74" t="str">
        <f>'Unit tariffs'!B39</f>
        <v>Ready board only</v>
      </c>
      <c r="D65" s="74"/>
      <c r="E65" s="74"/>
      <c r="F65" s="74"/>
      <c r="G65" s="76"/>
      <c r="H65" s="81">
        <v>1022.7896880000001</v>
      </c>
      <c r="I65" s="81">
        <f>SUM(I60:I62)</f>
        <v>1376.258394</v>
      </c>
      <c r="J65" s="105"/>
    </row>
    <row r="66" spans="1:10" ht="13" x14ac:dyDescent="0.3">
      <c r="A66" s="91"/>
      <c r="B66" s="74"/>
      <c r="C66" s="74"/>
      <c r="D66" s="74"/>
      <c r="E66" s="74"/>
      <c r="F66" s="74"/>
      <c r="G66" s="76"/>
      <c r="H66" s="76">
        <v>7075.906932569299</v>
      </c>
      <c r="I66" s="76">
        <f>SUM(I57:I65)</f>
        <v>6340.2122536199986</v>
      </c>
      <c r="J66" s="105"/>
    </row>
    <row r="67" spans="1:10" ht="13" x14ac:dyDescent="0.3">
      <c r="A67" s="91"/>
      <c r="B67" s="74"/>
      <c r="C67" s="74"/>
      <c r="D67" s="74"/>
      <c r="E67" s="74"/>
      <c r="F67" s="74"/>
      <c r="G67" s="76"/>
      <c r="H67" s="76"/>
      <c r="I67" s="76"/>
      <c r="J67" s="105"/>
    </row>
    <row r="68" spans="1:10" ht="13" x14ac:dyDescent="0.3">
      <c r="A68" s="91"/>
      <c r="B68" s="104" t="s">
        <v>42</v>
      </c>
      <c r="C68" s="74"/>
      <c r="D68" s="74"/>
      <c r="E68" s="74"/>
      <c r="F68" s="74"/>
      <c r="G68" s="74"/>
      <c r="H68" s="74"/>
      <c r="I68" s="74"/>
      <c r="J68" s="95"/>
    </row>
    <row r="69" spans="1:10" ht="13" x14ac:dyDescent="0.3">
      <c r="A69" s="91"/>
      <c r="B69" s="74"/>
      <c r="C69" s="74"/>
      <c r="D69" s="74"/>
      <c r="E69" s="74"/>
      <c r="F69" s="74"/>
      <c r="G69" s="74"/>
      <c r="H69" s="74"/>
      <c r="I69" s="74"/>
      <c r="J69" s="95"/>
    </row>
    <row r="70" spans="1:10" ht="13" x14ac:dyDescent="0.3">
      <c r="A70" s="91"/>
      <c r="B70" s="74">
        <v>0.25</v>
      </c>
      <c r="C70" s="74" t="str">
        <f>'Unit tariffs'!B$87</f>
        <v xml:space="preserve">hour-artisan </v>
      </c>
      <c r="D70" s="74"/>
      <c r="E70" s="74"/>
      <c r="F70" s="74"/>
      <c r="G70" s="74"/>
      <c r="H70" s="76">
        <v>80.713057932692308</v>
      </c>
      <c r="I70" s="76">
        <f>VLOOKUP($C70,'Unit tariffs'!$B$21:$F$123,5,FALSE)*$B70</f>
        <v>87.798191538461552</v>
      </c>
      <c r="J70" s="105"/>
    </row>
    <row r="71" spans="1:10" ht="13" x14ac:dyDescent="0.3">
      <c r="A71" s="91"/>
      <c r="B71" s="74">
        <v>0.51</v>
      </c>
      <c r="C71" s="74" t="str">
        <f>'Unit tariffs'!B$85</f>
        <v>hour-artisan assistant</v>
      </c>
      <c r="D71" s="74"/>
      <c r="E71" s="74"/>
      <c r="F71" s="74"/>
      <c r="G71" s="74"/>
      <c r="H71" s="81">
        <v>65.553261923076931</v>
      </c>
      <c r="I71" s="81">
        <f>VLOOKUP($C71,'Unit tariffs'!$B$21:$F$123,5,FALSE)*$B71</f>
        <v>71.310371815384627</v>
      </c>
      <c r="J71" s="105"/>
    </row>
    <row r="72" spans="1:10" ht="13" x14ac:dyDescent="0.3">
      <c r="A72" s="91"/>
      <c r="B72" s="74"/>
      <c r="C72" s="74"/>
      <c r="D72" s="74"/>
      <c r="E72" s="74"/>
      <c r="F72" s="74"/>
      <c r="G72" s="74"/>
      <c r="H72" s="76">
        <v>146.26631985576924</v>
      </c>
      <c r="I72" s="76">
        <f>SUM(I70:I71)</f>
        <v>159.10856335384619</v>
      </c>
      <c r="J72" s="105"/>
    </row>
    <row r="73" spans="1:10" ht="13" x14ac:dyDescent="0.3">
      <c r="A73" s="91"/>
      <c r="B73" s="104" t="s">
        <v>43</v>
      </c>
      <c r="C73" s="74"/>
      <c r="D73" s="74"/>
      <c r="E73" s="74"/>
      <c r="F73" s="74"/>
      <c r="G73" s="74"/>
      <c r="H73" s="74"/>
      <c r="I73" s="74"/>
      <c r="J73" s="95"/>
    </row>
    <row r="74" spans="1:10" ht="13" x14ac:dyDescent="0.3">
      <c r="A74" s="91"/>
      <c r="B74" s="74"/>
      <c r="C74" s="74"/>
      <c r="D74" s="74"/>
      <c r="E74" s="74"/>
      <c r="F74" s="74"/>
      <c r="G74" s="74"/>
      <c r="H74" s="74"/>
      <c r="I74" s="74"/>
      <c r="J74" s="95"/>
    </row>
    <row r="75" spans="1:10" ht="13" x14ac:dyDescent="0.3">
      <c r="A75" s="91"/>
      <c r="B75" s="74">
        <v>24</v>
      </c>
      <c r="C75" s="74" t="str">
        <f>'Unit tariffs'!B$111</f>
        <v>km-truck with platform</v>
      </c>
      <c r="D75" s="74"/>
      <c r="E75" s="74"/>
      <c r="F75" s="74"/>
      <c r="G75" s="74"/>
      <c r="H75" s="76">
        <v>1010.8920834182238</v>
      </c>
      <c r="I75" s="76">
        <f>VLOOKUP($C75,'Unit tariffs'!$B$21:$F$123,5,FALSE)*$B75</f>
        <v>1182.7997218118533</v>
      </c>
      <c r="J75" s="105"/>
    </row>
    <row r="76" spans="1:10" ht="13" x14ac:dyDescent="0.3">
      <c r="A76" s="91"/>
      <c r="B76" s="74">
        <v>1</v>
      </c>
      <c r="C76" s="74" t="str">
        <f>'Unit tariffs'!B$112</f>
        <v>hour-truck with platform</v>
      </c>
      <c r="D76" s="74"/>
      <c r="E76" s="74"/>
      <c r="F76" s="74"/>
      <c r="G76" s="74"/>
      <c r="H76" s="76">
        <v>204.98441731167313</v>
      </c>
      <c r="I76" s="76">
        <f>VLOOKUP($C76,'Unit tariffs'!$B$21:$F$123,5,FALSE)*$B76</f>
        <v>239.8431204962792</v>
      </c>
      <c r="J76" s="105"/>
    </row>
    <row r="77" spans="1:10" ht="13.5" thickBot="1" x14ac:dyDescent="0.35">
      <c r="A77" s="91"/>
      <c r="B77" s="74"/>
      <c r="C77" s="74"/>
      <c r="D77" s="74"/>
      <c r="E77" s="74"/>
      <c r="F77" s="74"/>
      <c r="G77" s="74"/>
      <c r="H77" s="107">
        <v>1215.8765007298969</v>
      </c>
      <c r="I77" s="107">
        <f>SUM(I75:I76)</f>
        <v>1422.6428423081325</v>
      </c>
      <c r="J77" s="105"/>
    </row>
    <row r="78" spans="1:10" ht="13.5" thickTop="1" x14ac:dyDescent="0.3">
      <c r="A78" s="91"/>
      <c r="B78" s="74"/>
      <c r="C78" s="74"/>
      <c r="D78" s="74"/>
      <c r="E78" s="74"/>
      <c r="F78" s="74"/>
      <c r="G78" s="76"/>
      <c r="H78" s="76">
        <v>8438.0497531549645</v>
      </c>
      <c r="I78" s="76">
        <f>I77+I72+I66</f>
        <v>7921.963659281977</v>
      </c>
      <c r="J78" s="105"/>
    </row>
    <row r="79" spans="1:10" ht="13.5" thickBot="1" x14ac:dyDescent="0.35">
      <c r="A79" s="91"/>
      <c r="B79" s="104" t="str">
        <f>'Unit tariffs'!$B$7</f>
        <v>Administration Levy (Indirect Cost)</v>
      </c>
      <c r="C79" s="74"/>
      <c r="D79" s="106">
        <f>'Unit tariffs'!$C$7</f>
        <v>0.1</v>
      </c>
      <c r="E79" s="74" t="s">
        <v>311</v>
      </c>
      <c r="F79" s="186">
        <f>+'Unit tariffs'!$F$7</f>
        <v>10000</v>
      </c>
      <c r="G79" s="76"/>
      <c r="H79" s="108">
        <v>843.80497531549645</v>
      </c>
      <c r="I79" s="108">
        <f>IF(I78*$D79&gt;='Unit tariffs'!$E$7,'Unit tariffs'!$E$7,I78*$D79)</f>
        <v>792.19636592819779</v>
      </c>
      <c r="J79" s="105"/>
    </row>
    <row r="80" spans="1:10" ht="13.5" thickTop="1" x14ac:dyDescent="0.3">
      <c r="A80" s="91"/>
      <c r="B80" s="104" t="s">
        <v>44</v>
      </c>
      <c r="C80" s="74"/>
      <c r="D80" s="74"/>
      <c r="E80" s="74"/>
      <c r="F80" s="74"/>
      <c r="G80" s="76"/>
      <c r="H80" s="109">
        <v>9281.8547284704619</v>
      </c>
      <c r="I80" s="109">
        <f>SUM(I78:I79)</f>
        <v>8714.1600252101744</v>
      </c>
      <c r="J80" s="105"/>
    </row>
    <row r="81" spans="1:10" ht="13" x14ac:dyDescent="0.3">
      <c r="A81" s="91"/>
      <c r="B81" s="104"/>
      <c r="C81" s="74"/>
      <c r="D81" s="74"/>
      <c r="E81" s="74"/>
      <c r="F81" s="74"/>
      <c r="G81" s="76"/>
      <c r="H81" s="76"/>
      <c r="I81" s="76"/>
      <c r="J81" s="105"/>
    </row>
    <row r="82" spans="1:10" ht="13" x14ac:dyDescent="0.3">
      <c r="A82" s="91"/>
      <c r="B82" s="104" t="s">
        <v>45</v>
      </c>
      <c r="C82" s="74"/>
      <c r="D82" s="74"/>
      <c r="E82" s="74"/>
      <c r="F82" s="74"/>
      <c r="G82" s="74"/>
      <c r="H82" s="84">
        <v>9280</v>
      </c>
      <c r="I82" s="84">
        <f>ROUND(I80,-1)</f>
        <v>8710</v>
      </c>
      <c r="J82" s="110"/>
    </row>
    <row r="83" spans="1:10" ht="13" x14ac:dyDescent="0.3">
      <c r="A83" s="91"/>
      <c r="B83" s="74"/>
      <c r="C83" s="74"/>
      <c r="D83" s="74"/>
      <c r="E83" s="74"/>
      <c r="F83" s="74"/>
      <c r="G83" s="74"/>
      <c r="H83" s="76"/>
      <c r="I83" s="76"/>
      <c r="J83" s="105"/>
    </row>
    <row r="84" spans="1:10" ht="13" x14ac:dyDescent="0.3">
      <c r="A84" s="91"/>
      <c r="B84" s="74"/>
      <c r="C84" s="74"/>
      <c r="D84" s="74"/>
      <c r="E84" s="74"/>
      <c r="F84" s="74"/>
      <c r="G84" s="74"/>
      <c r="H84" s="112">
        <v>0</v>
      </c>
      <c r="I84" s="112">
        <f>(+I82-H82)/H82</f>
        <v>-6.1422413793103446E-2</v>
      </c>
      <c r="J84" s="113"/>
    </row>
    <row r="85" spans="1:10" ht="13.5" thickBot="1" x14ac:dyDescent="0.35">
      <c r="A85" s="448"/>
      <c r="B85" s="123"/>
      <c r="C85" s="123"/>
      <c r="D85" s="123"/>
      <c r="E85" s="123"/>
      <c r="F85" s="123"/>
      <c r="G85" s="123"/>
      <c r="H85" s="123"/>
      <c r="I85" s="123"/>
      <c r="J85" s="449"/>
    </row>
    <row r="86" spans="1:10" ht="13.5" thickTop="1" x14ac:dyDescent="0.3">
      <c r="A86" s="91"/>
      <c r="B86" s="96" t="s">
        <v>511</v>
      </c>
      <c r="C86" s="97"/>
      <c r="D86" s="97"/>
      <c r="E86" s="97"/>
      <c r="F86" s="97"/>
      <c r="G86" s="97"/>
      <c r="H86" s="98"/>
      <c r="I86" s="98"/>
      <c r="J86" s="95"/>
    </row>
    <row r="87" spans="1:10" ht="13.5" thickBot="1" x14ac:dyDescent="0.35">
      <c r="A87" s="91"/>
      <c r="B87" s="99"/>
      <c r="C87" s="100"/>
      <c r="D87" s="100"/>
      <c r="E87" s="100"/>
      <c r="F87" s="100"/>
      <c r="G87" s="100"/>
      <c r="H87" s="121"/>
      <c r="I87" s="121"/>
      <c r="J87" s="95"/>
    </row>
    <row r="88" spans="1:10" ht="13.5" thickBot="1" x14ac:dyDescent="0.35">
      <c r="A88" s="91"/>
      <c r="B88" s="122"/>
      <c r="C88" s="74"/>
      <c r="D88" s="74"/>
      <c r="E88" s="74"/>
      <c r="F88" s="74"/>
      <c r="G88" s="74"/>
      <c r="H88" s="102" t="s">
        <v>239</v>
      </c>
      <c r="I88" s="102" t="s">
        <v>239</v>
      </c>
      <c r="J88" s="95"/>
    </row>
    <row r="89" spans="1:10" ht="13" x14ac:dyDescent="0.3">
      <c r="A89" s="91"/>
      <c r="B89" s="122"/>
      <c r="C89" s="74"/>
      <c r="D89" s="74"/>
      <c r="E89" s="74" t="s">
        <v>1</v>
      </c>
      <c r="F89" s="74"/>
      <c r="G89" s="74"/>
      <c r="H89" s="74"/>
      <c r="I89" s="74"/>
      <c r="J89" s="444"/>
    </row>
    <row r="90" spans="1:10" ht="13" x14ac:dyDescent="0.3">
      <c r="A90" s="91"/>
      <c r="B90" s="74"/>
      <c r="C90" s="74"/>
      <c r="D90" s="74"/>
      <c r="E90" s="74"/>
      <c r="F90" s="74"/>
      <c r="G90" s="74"/>
      <c r="H90" s="103" t="str">
        <f>+'Unit tariffs'!$F$11</f>
        <v>2026/2027</v>
      </c>
      <c r="I90" s="103" t="str">
        <f>+'Unit tariffs'!$F$11</f>
        <v>2026/2027</v>
      </c>
      <c r="J90" s="444" t="s">
        <v>313</v>
      </c>
    </row>
    <row r="91" spans="1:10" ht="13" x14ac:dyDescent="0.3">
      <c r="A91" s="91"/>
      <c r="B91" s="104" t="s">
        <v>41</v>
      </c>
      <c r="C91" s="74"/>
      <c r="D91" s="74"/>
      <c r="E91" s="74"/>
      <c r="F91" s="74"/>
      <c r="G91" s="74"/>
      <c r="H91" s="76"/>
      <c r="I91" s="76"/>
      <c r="J91" s="95"/>
    </row>
    <row r="92" spans="1:10" ht="13" x14ac:dyDescent="0.3">
      <c r="A92" s="91"/>
      <c r="B92" s="104"/>
      <c r="C92" s="74"/>
      <c r="D92" s="74"/>
      <c r="E92" s="74"/>
      <c r="F92" s="74"/>
      <c r="G92" s="74"/>
      <c r="H92" s="76"/>
      <c r="I92" s="76"/>
      <c r="J92" s="95"/>
    </row>
    <row r="93" spans="1:10" ht="13" x14ac:dyDescent="0.3">
      <c r="A93" s="91"/>
      <c r="B93" s="74">
        <v>37</v>
      </c>
      <c r="C93" s="74" t="str">
        <f>'Unit tariffs'!B56</f>
        <v>m 16 mm x 4 Cu cable</v>
      </c>
      <c r="D93" s="74"/>
      <c r="E93" s="74"/>
      <c r="F93" s="74"/>
      <c r="G93" s="74"/>
      <c r="H93" s="76">
        <v>3271.9384858239428</v>
      </c>
      <c r="I93" s="76">
        <f>VLOOKUP($C93,'Unit tariffs'!$B$21:$F$123,5,FALSE)*$B93</f>
        <v>15351.721711199998</v>
      </c>
      <c r="J93" s="95"/>
    </row>
    <row r="94" spans="1:10" ht="13" x14ac:dyDescent="0.3">
      <c r="A94" s="91"/>
      <c r="B94" s="74">
        <v>0.5</v>
      </c>
      <c r="C94" s="74" t="str">
        <f>'Unit tariffs'!B30</f>
        <v>Two way Stubby box</v>
      </c>
      <c r="D94" s="74"/>
      <c r="E94" s="74"/>
      <c r="F94" s="74"/>
      <c r="G94" s="74"/>
      <c r="H94" s="76">
        <v>1101.8350867671959</v>
      </c>
      <c r="I94" s="76">
        <f>VLOOKUP($C94,'Unit tariffs'!$B$21:$F$123,5,FALSE)*$B94</f>
        <v>1074.4984870199999</v>
      </c>
      <c r="J94" s="95"/>
    </row>
    <row r="95" spans="1:10" ht="13" x14ac:dyDescent="0.3">
      <c r="A95" s="91"/>
      <c r="B95" s="74">
        <v>0.5</v>
      </c>
      <c r="C95" s="74" t="str">
        <f>'Unit tariffs'!B25</f>
        <v>Cement base for meter box</v>
      </c>
      <c r="D95" s="74"/>
      <c r="E95" s="74"/>
      <c r="F95" s="74"/>
      <c r="G95" s="74"/>
      <c r="H95" s="76">
        <v>535.27635130015187</v>
      </c>
      <c r="I95" s="76">
        <f>VLOOKUP($C95,'Unit tariffs'!$B$21:$F$123,5,FALSE)*$B95</f>
        <v>1121.1195226</v>
      </c>
      <c r="J95" s="95"/>
    </row>
    <row r="96" spans="1:10" ht="13" x14ac:dyDescent="0.3">
      <c r="A96" s="91"/>
      <c r="B96" s="74">
        <v>1</v>
      </c>
      <c r="C96" s="74" t="str">
        <f>'Unit tariffs'!B43</f>
        <v>x 80 A circuit breaker (5kA) - Orange</v>
      </c>
      <c r="D96" s="74"/>
      <c r="E96" s="74"/>
      <c r="F96" s="74"/>
      <c r="G96" s="74"/>
      <c r="H96" s="76">
        <v>195.804552748324</v>
      </c>
      <c r="I96" s="76">
        <f>VLOOKUP($C96,'Unit tariffs'!$B$21:$F$123,5,FALSE)*$B96</f>
        <v>0</v>
      </c>
      <c r="J96" s="457" t="e">
        <f>IF(+I96*'Unit tariffs'!#REF!&gt;'Unit tariffs'!#REF!,'Unit tariffs'!#REF!,+I96*'Unit tariffs'!#REF!)</f>
        <v>#REF!</v>
      </c>
    </row>
    <row r="97" spans="1:10" ht="13" x14ac:dyDescent="0.3">
      <c r="A97" s="91"/>
      <c r="B97" s="74">
        <v>1</v>
      </c>
      <c r="C97" s="74" t="str">
        <f>'Unit tariffs'!B34</f>
        <v>METER:S/P WIRED PRE-PAID</v>
      </c>
      <c r="D97" s="74"/>
      <c r="E97" s="74"/>
      <c r="F97" s="74"/>
      <c r="G97" s="74"/>
      <c r="H97" s="76">
        <v>2262.7591214051877</v>
      </c>
      <c r="I97" s="76">
        <f>VLOOKUP($C97,'Unit tariffs'!$B$21:$F$123,5,FALSE)*$B97</f>
        <v>2142.3529679999997</v>
      </c>
      <c r="J97" s="457" t="e">
        <f>IF(+I97*'Unit tariffs'!#REF!&gt;'Unit tariffs'!#REF!,'Unit tariffs'!#REF!,+I97*'Unit tariffs'!#REF!)</f>
        <v>#REF!</v>
      </c>
    </row>
    <row r="98" spans="1:10" ht="13" x14ac:dyDescent="0.3">
      <c r="A98" s="91"/>
      <c r="B98" s="74">
        <v>1</v>
      </c>
      <c r="C98" s="74" t="str">
        <f>'Unit tariffs'!B21</f>
        <v>Installation material</v>
      </c>
      <c r="D98" s="74"/>
      <c r="E98" s="74"/>
      <c r="F98" s="74"/>
      <c r="G98" s="74"/>
      <c r="H98" s="81">
        <v>271.44100000000003</v>
      </c>
      <c r="I98" s="81">
        <f>VLOOKUP($C98,'Unit tariffs'!$B$21:$F$123,5,FALSE)*$B98</f>
        <v>282.48325</v>
      </c>
      <c r="J98" s="457" t="e">
        <f>IF(+I98*'Unit tariffs'!#REF!&gt;'Unit tariffs'!#REF!,'Unit tariffs'!#REF!,+I98*'Unit tariffs'!#REF!)</f>
        <v>#REF!</v>
      </c>
    </row>
    <row r="99" spans="1:10" ht="13" x14ac:dyDescent="0.3">
      <c r="A99" s="91"/>
      <c r="B99" s="74"/>
      <c r="C99" s="74"/>
      <c r="D99" s="74"/>
      <c r="E99" s="74"/>
      <c r="F99" s="74"/>
      <c r="G99" s="76"/>
      <c r="H99" s="76">
        <v>7639.0545980448014</v>
      </c>
      <c r="I99" s="76">
        <f>SUM(I93:I98)</f>
        <v>19972.175938819997</v>
      </c>
      <c r="J99" s="105"/>
    </row>
    <row r="100" spans="1:10" ht="13" x14ac:dyDescent="0.3">
      <c r="A100" s="91"/>
      <c r="B100" s="74"/>
      <c r="C100" s="74"/>
      <c r="D100" s="74"/>
      <c r="E100" s="74"/>
      <c r="F100" s="74"/>
      <c r="G100" s="76"/>
      <c r="H100" s="76"/>
      <c r="I100" s="76"/>
      <c r="J100" s="105"/>
    </row>
    <row r="101" spans="1:10" ht="13" x14ac:dyDescent="0.3">
      <c r="A101" s="91"/>
      <c r="B101" s="104" t="s">
        <v>42</v>
      </c>
      <c r="C101" s="74"/>
      <c r="D101" s="74"/>
      <c r="E101" s="74"/>
      <c r="F101" s="74"/>
      <c r="G101" s="74"/>
      <c r="H101" s="74"/>
      <c r="I101" s="74"/>
      <c r="J101" s="95"/>
    </row>
    <row r="102" spans="1:10" ht="13" x14ac:dyDescent="0.3">
      <c r="A102" s="91"/>
      <c r="B102" s="74"/>
      <c r="C102" s="74"/>
      <c r="D102" s="74"/>
      <c r="E102" s="74"/>
      <c r="F102" s="74"/>
      <c r="G102" s="74"/>
      <c r="H102" s="74"/>
      <c r="I102" s="74"/>
      <c r="J102" s="95"/>
    </row>
    <row r="103" spans="1:10" ht="13" x14ac:dyDescent="0.3">
      <c r="A103" s="91"/>
      <c r="B103" s="74">
        <v>0.25</v>
      </c>
      <c r="C103" s="74" t="str">
        <f>'Unit tariffs'!B$87</f>
        <v xml:space="preserve">hour-artisan </v>
      </c>
      <c r="D103" s="74"/>
      <c r="E103" s="74"/>
      <c r="F103" s="74"/>
      <c r="G103" s="74"/>
      <c r="H103" s="76">
        <v>80.713057932692308</v>
      </c>
      <c r="I103" s="76">
        <f>VLOOKUP($C103,'Unit tariffs'!$B$21:$F$123,5,FALSE)*$B103</f>
        <v>87.798191538461552</v>
      </c>
      <c r="J103" s="105"/>
    </row>
    <row r="104" spans="1:10" ht="13" x14ac:dyDescent="0.3">
      <c r="A104" s="91"/>
      <c r="B104" s="74">
        <v>0.51</v>
      </c>
      <c r="C104" s="74" t="str">
        <f>'Unit tariffs'!B$85</f>
        <v>hour-artisan assistant</v>
      </c>
      <c r="D104" s="74"/>
      <c r="E104" s="74"/>
      <c r="F104" s="74"/>
      <c r="G104" s="74"/>
      <c r="H104" s="81">
        <v>65.553261923076931</v>
      </c>
      <c r="I104" s="81">
        <f>VLOOKUP($C104,'Unit tariffs'!$B$21:$F$123,5,FALSE)*$B104</f>
        <v>71.310371815384627</v>
      </c>
      <c r="J104" s="105"/>
    </row>
    <row r="105" spans="1:10" ht="13" x14ac:dyDescent="0.3">
      <c r="A105" s="91"/>
      <c r="B105" s="74"/>
      <c r="C105" s="74"/>
      <c r="D105" s="74"/>
      <c r="E105" s="74"/>
      <c r="F105" s="74"/>
      <c r="G105" s="74"/>
      <c r="H105" s="76">
        <v>146.26631985576924</v>
      </c>
      <c r="I105" s="76">
        <f>SUM(I103:I104)</f>
        <v>159.10856335384619</v>
      </c>
      <c r="J105" s="105"/>
    </row>
    <row r="106" spans="1:10" ht="13" x14ac:dyDescent="0.3">
      <c r="A106" s="91"/>
      <c r="B106" s="104" t="s">
        <v>43</v>
      </c>
      <c r="C106" s="74"/>
      <c r="D106" s="74"/>
      <c r="E106" s="74"/>
      <c r="F106" s="74"/>
      <c r="G106" s="74"/>
      <c r="H106" s="74"/>
      <c r="I106" s="74"/>
      <c r="J106" s="95"/>
    </row>
    <row r="107" spans="1:10" ht="13" x14ac:dyDescent="0.3">
      <c r="A107" s="91"/>
      <c r="B107" s="74"/>
      <c r="C107" s="74"/>
      <c r="D107" s="74"/>
      <c r="E107" s="74"/>
      <c r="F107" s="74"/>
      <c r="G107" s="74"/>
      <c r="H107" s="74"/>
      <c r="I107" s="74"/>
      <c r="J107" s="95"/>
    </row>
    <row r="108" spans="1:10" ht="13" x14ac:dyDescent="0.3">
      <c r="A108" s="91"/>
      <c r="B108" s="74">
        <v>24</v>
      </c>
      <c r="C108" s="74" t="str">
        <f>'Unit tariffs'!B$111</f>
        <v>km-truck with platform</v>
      </c>
      <c r="D108" s="74"/>
      <c r="E108" s="74"/>
      <c r="F108" s="74"/>
      <c r="G108" s="74"/>
      <c r="H108" s="76">
        <v>1010.8920834182238</v>
      </c>
      <c r="I108" s="76">
        <f>VLOOKUP($C108,'Unit tariffs'!$B$21:$F$123,5,FALSE)*$B108</f>
        <v>1182.7997218118533</v>
      </c>
      <c r="J108" s="105"/>
    </row>
    <row r="109" spans="1:10" ht="13" x14ac:dyDescent="0.3">
      <c r="A109" s="91"/>
      <c r="B109" s="74">
        <v>1</v>
      </c>
      <c r="C109" s="74" t="str">
        <f>'Unit tariffs'!B$112</f>
        <v>hour-truck with platform</v>
      </c>
      <c r="D109" s="74"/>
      <c r="E109" s="74"/>
      <c r="F109" s="74"/>
      <c r="G109" s="74"/>
      <c r="H109" s="76">
        <v>204.98441731167313</v>
      </c>
      <c r="I109" s="76">
        <f>VLOOKUP($C109,'Unit tariffs'!$B$21:$F$123,5,FALSE)*$B109</f>
        <v>239.8431204962792</v>
      </c>
      <c r="J109" s="105"/>
    </row>
    <row r="110" spans="1:10" ht="13.5" thickBot="1" x14ac:dyDescent="0.35">
      <c r="A110" s="91"/>
      <c r="B110" s="74"/>
      <c r="C110" s="74"/>
      <c r="D110" s="74"/>
      <c r="E110" s="74"/>
      <c r="F110" s="74"/>
      <c r="G110" s="74"/>
      <c r="H110" s="107">
        <v>1215.8765007298969</v>
      </c>
      <c r="I110" s="107">
        <f>SUM(I108:I109)</f>
        <v>1422.6428423081325</v>
      </c>
      <c r="J110" s="105"/>
    </row>
    <row r="111" spans="1:10" ht="13.5" thickTop="1" x14ac:dyDescent="0.3">
      <c r="A111" s="91"/>
      <c r="B111" s="74"/>
      <c r="C111" s="74"/>
      <c r="D111" s="74"/>
      <c r="E111" s="74"/>
      <c r="F111" s="74"/>
      <c r="G111" s="76"/>
      <c r="H111" s="76">
        <v>9001.1974186304669</v>
      </c>
      <c r="I111" s="76">
        <f>I110+I105+I99</f>
        <v>21553.927344481977</v>
      </c>
      <c r="J111" s="105"/>
    </row>
    <row r="112" spans="1:10" ht="13.5" thickBot="1" x14ac:dyDescent="0.35">
      <c r="A112" s="91"/>
      <c r="B112" s="104" t="str">
        <f>'Unit tariffs'!$B$7</f>
        <v>Administration Levy (Indirect Cost)</v>
      </c>
      <c r="C112" s="74"/>
      <c r="D112" s="106">
        <f>'Unit tariffs'!$C$7</f>
        <v>0.1</v>
      </c>
      <c r="E112" s="74" t="s">
        <v>311</v>
      </c>
      <c r="F112" s="186">
        <f>+'Unit tariffs'!$F$7</f>
        <v>10000</v>
      </c>
      <c r="G112" s="76"/>
      <c r="H112" s="108">
        <v>900.11974186304678</v>
      </c>
      <c r="I112" s="108">
        <f>IF(I111*$D112&gt;='Unit tariffs'!$E$7,'Unit tariffs'!$E$7,I111*$D112)</f>
        <v>2155.3927344481976</v>
      </c>
      <c r="J112" s="105"/>
    </row>
    <row r="113" spans="1:10" ht="13.5" thickTop="1" x14ac:dyDescent="0.3">
      <c r="A113" s="91"/>
      <c r="B113" s="104" t="s">
        <v>44</v>
      </c>
      <c r="C113" s="74"/>
      <c r="D113" s="74"/>
      <c r="E113" s="74"/>
      <c r="F113" s="74"/>
      <c r="G113" s="76"/>
      <c r="H113" s="109">
        <v>9901.3171604935142</v>
      </c>
      <c r="I113" s="109">
        <f>SUM(I111:I112)</f>
        <v>23709.320078930174</v>
      </c>
      <c r="J113" s="105"/>
    </row>
    <row r="114" spans="1:10" ht="13" x14ac:dyDescent="0.3">
      <c r="A114" s="91"/>
      <c r="B114" s="104"/>
      <c r="C114" s="74"/>
      <c r="D114" s="74"/>
      <c r="E114" s="74"/>
      <c r="F114" s="74"/>
      <c r="G114" s="76"/>
      <c r="H114" s="76"/>
      <c r="I114" s="76"/>
      <c r="J114" s="105"/>
    </row>
    <row r="115" spans="1:10" ht="13" x14ac:dyDescent="0.3">
      <c r="A115" s="91"/>
      <c r="B115" s="104" t="s">
        <v>45</v>
      </c>
      <c r="C115" s="74"/>
      <c r="D115" s="74"/>
      <c r="E115" s="74"/>
      <c r="F115" s="74"/>
      <c r="G115" s="74"/>
      <c r="H115" s="84">
        <v>9900</v>
      </c>
      <c r="I115" s="84">
        <f>ROUND(I113,-1)</f>
        <v>23710</v>
      </c>
      <c r="J115" s="110"/>
    </row>
    <row r="116" spans="1:10" ht="13" x14ac:dyDescent="0.3">
      <c r="A116" s="91"/>
      <c r="B116" s="74"/>
      <c r="C116" s="74"/>
      <c r="D116" s="74"/>
      <c r="E116" s="74"/>
      <c r="F116" s="74"/>
      <c r="G116" s="74"/>
      <c r="H116" s="76"/>
      <c r="I116" s="76"/>
      <c r="J116" s="105"/>
    </row>
    <row r="117" spans="1:10" ht="13.5" thickBot="1" x14ac:dyDescent="0.35">
      <c r="A117" s="91"/>
      <c r="B117" s="74"/>
      <c r="C117" s="74"/>
      <c r="D117" s="74"/>
      <c r="E117" s="74"/>
      <c r="F117" s="74"/>
      <c r="G117" s="74"/>
      <c r="H117" s="112">
        <v>0</v>
      </c>
      <c r="I117" s="112">
        <f>(+I115-H115)/H115</f>
        <v>1.3949494949494949</v>
      </c>
      <c r="J117" s="95"/>
    </row>
    <row r="118" spans="1:10" ht="13.5" thickTop="1" x14ac:dyDescent="0.3">
      <c r="A118" s="445"/>
      <c r="B118" s="120" t="s">
        <v>1</v>
      </c>
      <c r="C118" s="120"/>
      <c r="D118" s="120"/>
      <c r="E118" s="120"/>
      <c r="F118" s="120"/>
      <c r="G118" s="120"/>
      <c r="H118" s="120"/>
      <c r="I118" s="120"/>
      <c r="J118" s="446"/>
    </row>
    <row r="119" spans="1:10" ht="27" customHeight="1" thickBot="1" x14ac:dyDescent="0.35">
      <c r="A119" s="91"/>
      <c r="B119" s="931" t="s">
        <v>461</v>
      </c>
      <c r="C119" s="932"/>
      <c r="D119" s="932"/>
      <c r="E119" s="932"/>
      <c r="F119" s="932"/>
      <c r="G119" s="933"/>
      <c r="H119" s="74"/>
      <c r="I119" s="74"/>
      <c r="J119" s="95"/>
    </row>
    <row r="120" spans="1:10" ht="13.5" customHeight="1" thickBot="1" x14ac:dyDescent="0.35">
      <c r="A120" s="91"/>
      <c r="B120" s="124"/>
      <c r="C120" s="965"/>
      <c r="D120" s="965"/>
      <c r="E120" s="965"/>
      <c r="F120" s="965"/>
      <c r="G120" s="965"/>
      <c r="H120" s="102" t="s">
        <v>239</v>
      </c>
      <c r="I120" s="102" t="s">
        <v>239</v>
      </c>
      <c r="J120" s="95"/>
    </row>
    <row r="121" spans="1:10" ht="13.5" customHeight="1" x14ac:dyDescent="0.3">
      <c r="A121" s="91"/>
      <c r="B121" s="124"/>
      <c r="C121" s="124"/>
      <c r="D121" s="124"/>
      <c r="E121" s="124"/>
      <c r="F121" s="124"/>
      <c r="G121" s="124"/>
      <c r="H121" s="74"/>
      <c r="I121" s="74"/>
      <c r="J121" s="95"/>
    </row>
    <row r="122" spans="1:10" ht="13" x14ac:dyDescent="0.3">
      <c r="A122" s="91"/>
      <c r="B122" s="74"/>
      <c r="C122" s="74"/>
      <c r="D122" s="74"/>
      <c r="E122" s="74"/>
      <c r="F122" s="74"/>
      <c r="G122" s="74"/>
      <c r="H122" s="103" t="str">
        <f>+'Unit tariffs'!$F$11</f>
        <v>2026/2027</v>
      </c>
      <c r="I122" s="103" t="str">
        <f>+'Unit tariffs'!$F$11</f>
        <v>2026/2027</v>
      </c>
      <c r="J122" s="444" t="s">
        <v>313</v>
      </c>
    </row>
    <row r="123" spans="1:10" ht="13" x14ac:dyDescent="0.3">
      <c r="A123" s="91"/>
      <c r="B123" s="104" t="s">
        <v>41</v>
      </c>
      <c r="C123" s="74"/>
      <c r="D123" s="74"/>
      <c r="E123" s="74"/>
      <c r="F123" s="74"/>
      <c r="G123" s="74"/>
      <c r="H123" s="74"/>
      <c r="I123" s="74"/>
      <c r="J123" s="95"/>
    </row>
    <row r="124" spans="1:10" ht="13" x14ac:dyDescent="0.3">
      <c r="A124" s="91"/>
      <c r="B124" s="74"/>
      <c r="C124" s="74"/>
      <c r="D124" s="74"/>
      <c r="E124" s="74"/>
      <c r="F124" s="74"/>
      <c r="G124" s="74"/>
      <c r="H124" s="74"/>
      <c r="I124" s="74"/>
      <c r="J124" s="95"/>
    </row>
    <row r="125" spans="1:10" ht="13" x14ac:dyDescent="0.3">
      <c r="A125" s="91"/>
      <c r="B125" s="74">
        <v>1</v>
      </c>
      <c r="C125" s="74" t="str">
        <f>'Unit tariffs'!B27</f>
        <v>Two way domestic meter box</v>
      </c>
      <c r="D125" s="74"/>
      <c r="E125" s="74"/>
      <c r="F125" s="74"/>
      <c r="G125" s="74"/>
      <c r="H125" s="76">
        <v>4047.0136257390277</v>
      </c>
      <c r="I125" s="76">
        <f>VLOOKUP($C125,'Unit tariffs'!$B$21:$F$123,5,FALSE)*$B125</f>
        <v>7172.5886973999995</v>
      </c>
      <c r="J125" s="457" t="e">
        <f>IF(+I125*'Unit tariffs'!#REF!&gt;'Unit tariffs'!#REF!,'Unit tariffs'!#REF!,+I125*'Unit tariffs'!#REF!)</f>
        <v>#REF!</v>
      </c>
    </row>
    <row r="126" spans="1:10" ht="13" x14ac:dyDescent="0.3">
      <c r="A126" s="91"/>
      <c r="B126" s="74">
        <v>37</v>
      </c>
      <c r="C126" s="20" t="str">
        <f>'Unit tariffs'!B56</f>
        <v>m 16 mm x 4 Cu cable</v>
      </c>
      <c r="D126" s="74"/>
      <c r="E126" s="74"/>
      <c r="F126" s="74"/>
      <c r="G126" s="74"/>
      <c r="H126" s="76">
        <v>3271.9384858239428</v>
      </c>
      <c r="I126" s="76">
        <f>VLOOKUP($C126,'Unit tariffs'!$B$21:$F$123,5,FALSE)*$B126</f>
        <v>15351.721711199998</v>
      </c>
      <c r="J126" s="457" t="e">
        <f>IF(+I126*'Unit tariffs'!#REF!&gt;'Unit tariffs'!#REF!,'Unit tariffs'!#REF!,+I126*'Unit tariffs'!#REF!)</f>
        <v>#REF!</v>
      </c>
    </row>
    <row r="127" spans="1:10" ht="13" x14ac:dyDescent="0.3">
      <c r="A127" s="91"/>
      <c r="B127" s="74">
        <v>1</v>
      </c>
      <c r="C127" s="74" t="str">
        <f>'Unit tariffs'!B34</f>
        <v>METER:S/P WIRED PRE-PAID</v>
      </c>
      <c r="D127" s="74"/>
      <c r="E127" s="74"/>
      <c r="F127" s="74"/>
      <c r="G127" s="74"/>
      <c r="H127" s="76">
        <v>2262.7591214051877</v>
      </c>
      <c r="I127" s="76">
        <f>VLOOKUP($C127,'Unit tariffs'!$B$21:$F$123,5,FALSE)*$B127</f>
        <v>2142.3529679999997</v>
      </c>
      <c r="J127" s="457" t="e">
        <f>IF(+I127*'Unit tariffs'!#REF!&gt;'Unit tariffs'!#REF!,'Unit tariffs'!#REF!,+I127*'Unit tariffs'!#REF!)</f>
        <v>#REF!</v>
      </c>
    </row>
    <row r="128" spans="1:10" ht="13" x14ac:dyDescent="0.3">
      <c r="A128" s="91"/>
      <c r="B128" s="74">
        <v>1</v>
      </c>
      <c r="C128" s="74" t="str">
        <f>'Unit tariffs'!B21</f>
        <v>Installation material</v>
      </c>
      <c r="D128" s="74"/>
      <c r="E128" s="74"/>
      <c r="F128" s="74"/>
      <c r="G128" s="74"/>
      <c r="H128" s="76">
        <v>271.44100000000003</v>
      </c>
      <c r="I128" s="76">
        <f>VLOOKUP($C128,'Unit tariffs'!$B$21:$F$123,5,FALSE)*$B128</f>
        <v>282.48325</v>
      </c>
      <c r="J128" s="457" t="e">
        <f>IF(+I128*'Unit tariffs'!#REF!&gt;'Unit tariffs'!#REF!,'Unit tariffs'!#REF!,+I128*'Unit tariffs'!#REF!)</f>
        <v>#REF!</v>
      </c>
    </row>
    <row r="129" spans="1:10" ht="13" x14ac:dyDescent="0.3">
      <c r="A129" s="91"/>
      <c r="B129" s="74">
        <v>1</v>
      </c>
      <c r="C129" s="74" t="str">
        <f>'Unit tariffs'!B43</f>
        <v>x 80 A circuit breaker (5kA) - Orange</v>
      </c>
      <c r="D129" s="74"/>
      <c r="E129" s="74"/>
      <c r="F129" s="74"/>
      <c r="G129" s="74"/>
      <c r="H129" s="76">
        <v>195.804552748324</v>
      </c>
      <c r="I129" s="76">
        <f>VLOOKUP($C129,'Unit tariffs'!$B$21:$F$123,5,FALSE)*$B129</f>
        <v>0</v>
      </c>
      <c r="J129" s="457"/>
    </row>
    <row r="130" spans="1:10" ht="13" x14ac:dyDescent="0.3">
      <c r="A130" s="91"/>
      <c r="B130" s="74">
        <v>1</v>
      </c>
      <c r="C130" s="74" t="str">
        <f>'Unit tariffs'!B25</f>
        <v>Cement base for meter box</v>
      </c>
      <c r="D130" s="74"/>
      <c r="E130" s="74"/>
      <c r="F130" s="74"/>
      <c r="G130" s="74"/>
      <c r="H130" s="81">
        <v>1070.5527026003037</v>
      </c>
      <c r="I130" s="81">
        <f>VLOOKUP($C130,'Unit tariffs'!$B$21:$F$123,5,FALSE)*$B130</f>
        <v>2242.2390452</v>
      </c>
      <c r="J130" s="457"/>
    </row>
    <row r="131" spans="1:10" ht="13" x14ac:dyDescent="0.3">
      <c r="A131" s="91"/>
      <c r="B131" s="74"/>
      <c r="C131" s="74"/>
      <c r="D131" s="74"/>
      <c r="E131" s="74"/>
      <c r="F131" s="74"/>
      <c r="G131" s="74"/>
      <c r="H131" s="76">
        <v>11119.509488316788</v>
      </c>
      <c r="I131" s="76">
        <f>SUM(I125:I130)</f>
        <v>27191.385671799999</v>
      </c>
      <c r="J131" s="457"/>
    </row>
    <row r="132" spans="1:10" ht="13" x14ac:dyDescent="0.3">
      <c r="A132" s="91"/>
      <c r="B132" s="74"/>
      <c r="C132" s="74"/>
      <c r="D132" s="74"/>
      <c r="E132" s="74"/>
      <c r="F132" s="74"/>
      <c r="G132" s="76"/>
      <c r="H132" s="76"/>
      <c r="I132" s="76"/>
      <c r="J132" s="105"/>
    </row>
    <row r="133" spans="1:10" ht="13" x14ac:dyDescent="0.3">
      <c r="A133" s="91"/>
      <c r="B133" s="104" t="s">
        <v>42</v>
      </c>
      <c r="C133" s="74"/>
      <c r="D133" s="74"/>
      <c r="E133" s="74"/>
      <c r="F133" s="74"/>
      <c r="G133" s="74"/>
      <c r="H133" s="74"/>
      <c r="I133" s="74"/>
      <c r="J133" s="95"/>
    </row>
    <row r="134" spans="1:10" ht="13" x14ac:dyDescent="0.3">
      <c r="A134" s="91"/>
      <c r="B134" s="74"/>
      <c r="C134" s="74"/>
      <c r="D134" s="74"/>
      <c r="E134" s="74"/>
      <c r="F134" s="74"/>
      <c r="G134" s="74"/>
      <c r="H134" s="76"/>
      <c r="I134" s="76"/>
      <c r="J134" s="95"/>
    </row>
    <row r="135" spans="1:10" ht="13" x14ac:dyDescent="0.3">
      <c r="A135" s="91"/>
      <c r="B135" s="74">
        <v>0.23</v>
      </c>
      <c r="C135" s="74" t="str">
        <f>'Unit tariffs'!B$87</f>
        <v xml:space="preserve">hour-artisan </v>
      </c>
      <c r="D135" s="74"/>
      <c r="E135" s="74"/>
      <c r="F135" s="74"/>
      <c r="G135" s="74"/>
      <c r="H135" s="76">
        <v>74.256013298076923</v>
      </c>
      <c r="I135" s="76">
        <f>VLOOKUP($C135,'Unit tariffs'!$B$21:$F$123,5,FALSE)*$B135</f>
        <v>80.774336215384636</v>
      </c>
      <c r="J135" s="105"/>
    </row>
    <row r="136" spans="1:10" ht="13" x14ac:dyDescent="0.3">
      <c r="A136" s="74"/>
      <c r="B136" s="74">
        <v>1.05</v>
      </c>
      <c r="C136" s="74" t="str">
        <f>'Unit tariffs'!B$85</f>
        <v>hour-artisan assistant</v>
      </c>
      <c r="D136" s="74"/>
      <c r="E136" s="74"/>
      <c r="F136" s="74"/>
      <c r="G136" s="74"/>
      <c r="H136" s="76">
        <v>134.96259807692311</v>
      </c>
      <c r="I136" s="76">
        <f>VLOOKUP($C136,'Unit tariffs'!$B$21:$F$123,5,FALSE)*$B136</f>
        <v>146.81547138461542</v>
      </c>
      <c r="J136" s="76"/>
    </row>
    <row r="137" spans="1:10" ht="13" x14ac:dyDescent="0.3">
      <c r="A137" s="91"/>
      <c r="B137" s="74">
        <v>0.03</v>
      </c>
      <c r="C137" s="74" t="str">
        <f>'Unit tariffs'!B86</f>
        <v>hour-meter assistant</v>
      </c>
      <c r="D137" s="74"/>
      <c r="E137" s="74"/>
      <c r="F137" s="74"/>
      <c r="G137" s="74"/>
      <c r="H137" s="81">
        <v>3.8560742307692313</v>
      </c>
      <c r="I137" s="81">
        <f>VLOOKUP($C137,'Unit tariffs'!$B$21:$F$123,5,FALSE)*$B137</f>
        <v>4.1947277538461538</v>
      </c>
      <c r="J137" s="105"/>
    </row>
    <row r="138" spans="1:10" ht="13" x14ac:dyDescent="0.3">
      <c r="A138" s="91"/>
      <c r="B138" s="74"/>
      <c r="C138" s="74"/>
      <c r="D138" s="74"/>
      <c r="E138" s="74"/>
      <c r="F138" s="74"/>
      <c r="G138" s="74"/>
      <c r="H138" s="76">
        <v>209.21861137500002</v>
      </c>
      <c r="I138" s="76">
        <f>SUM(I135:I136)</f>
        <v>227.58980760000006</v>
      </c>
      <c r="J138" s="105"/>
    </row>
    <row r="139" spans="1:10" ht="13" x14ac:dyDescent="0.3">
      <c r="A139" s="91"/>
      <c r="B139" s="104" t="s">
        <v>43</v>
      </c>
      <c r="C139" s="74"/>
      <c r="D139" s="74"/>
      <c r="E139" s="74"/>
      <c r="F139" s="74"/>
      <c r="G139" s="74"/>
      <c r="H139" s="74"/>
      <c r="I139" s="74"/>
      <c r="J139" s="95"/>
    </row>
    <row r="140" spans="1:10" ht="13" x14ac:dyDescent="0.3">
      <c r="A140" s="91"/>
      <c r="B140" s="74"/>
      <c r="C140" s="74"/>
      <c r="D140" s="74"/>
      <c r="E140" s="74"/>
      <c r="F140" s="74"/>
      <c r="G140" s="74"/>
      <c r="H140" s="74"/>
      <c r="I140" s="74"/>
      <c r="J140" s="95"/>
    </row>
    <row r="141" spans="1:10" ht="13" x14ac:dyDescent="0.3">
      <c r="A141" s="91"/>
      <c r="B141" s="74">
        <v>24</v>
      </c>
      <c r="C141" s="74" t="str">
        <f>'Unit tariffs'!B$111</f>
        <v>km-truck with platform</v>
      </c>
      <c r="D141" s="74"/>
      <c r="E141" s="74"/>
      <c r="F141" s="74"/>
      <c r="G141" s="74"/>
      <c r="H141" s="76">
        <v>1010.8920834182238</v>
      </c>
      <c r="I141" s="76">
        <f>VLOOKUP($C141,'Unit tariffs'!$B$21:$F$123,5,FALSE)*$B141</f>
        <v>1182.7997218118533</v>
      </c>
      <c r="J141" s="105"/>
    </row>
    <row r="142" spans="1:10" ht="13" x14ac:dyDescent="0.3">
      <c r="A142" s="91"/>
      <c r="B142" s="74">
        <v>1</v>
      </c>
      <c r="C142" s="74" t="str">
        <f>'Unit tariffs'!B$112</f>
        <v>hour-truck with platform</v>
      </c>
      <c r="D142" s="74"/>
      <c r="E142" s="74"/>
      <c r="F142" s="74"/>
      <c r="G142" s="74"/>
      <c r="H142" s="76">
        <v>204.98441731167313</v>
      </c>
      <c r="I142" s="76">
        <f>VLOOKUP($C142,'Unit tariffs'!$B$21:$F$123,5,FALSE)*$B142</f>
        <v>239.8431204962792</v>
      </c>
      <c r="J142" s="105"/>
    </row>
    <row r="143" spans="1:10" ht="13.5" thickBot="1" x14ac:dyDescent="0.35">
      <c r="A143" s="91"/>
      <c r="B143" s="74"/>
      <c r="C143" s="74"/>
      <c r="D143" s="74"/>
      <c r="E143" s="74"/>
      <c r="F143" s="74"/>
      <c r="G143" s="74"/>
      <c r="H143" s="107">
        <v>1215.8765007298969</v>
      </c>
      <c r="I143" s="107">
        <f>SUM(I141:I142)</f>
        <v>1422.6428423081325</v>
      </c>
      <c r="J143" s="105"/>
    </row>
    <row r="144" spans="1:10" ht="13.5" thickTop="1" x14ac:dyDescent="0.3">
      <c r="A144" s="91"/>
      <c r="B144" s="74"/>
      <c r="C144" s="74"/>
      <c r="D144" s="74"/>
      <c r="E144" s="74"/>
      <c r="F144" s="74"/>
      <c r="G144" s="76"/>
      <c r="H144" s="76">
        <v>12544.604600421684</v>
      </c>
      <c r="I144" s="76">
        <f>I143+I138+I131</f>
        <v>28841.618321708131</v>
      </c>
      <c r="J144" s="105"/>
    </row>
    <row r="145" spans="1:10" ht="13.5" thickBot="1" x14ac:dyDescent="0.35">
      <c r="A145" s="91"/>
      <c r="B145" s="104" t="str">
        <f>'Unit tariffs'!$B$7</f>
        <v>Administration Levy (Indirect Cost)</v>
      </c>
      <c r="C145" s="74"/>
      <c r="D145" s="106">
        <f>'Unit tariffs'!$C$7</f>
        <v>0.1</v>
      </c>
      <c r="E145" s="74" t="s">
        <v>311</v>
      </c>
      <c r="F145" s="186">
        <f>+'Unit tariffs'!$F$7</f>
        <v>10000</v>
      </c>
      <c r="G145" s="76"/>
      <c r="H145" s="108">
        <v>1254.4604600421685</v>
      </c>
      <c r="I145" s="108">
        <f>IF(I144*$D145&gt;='Unit tariffs'!$E$7,'Unit tariffs'!$E$7,I144*$D145)</f>
        <v>2884.1618321708133</v>
      </c>
      <c r="J145" s="105"/>
    </row>
    <row r="146" spans="1:10" ht="13.5" thickTop="1" x14ac:dyDescent="0.3">
      <c r="A146" s="91"/>
      <c r="B146" s="104" t="s">
        <v>44</v>
      </c>
      <c r="C146" s="74"/>
      <c r="D146" s="74"/>
      <c r="E146" s="74"/>
      <c r="F146" s="74"/>
      <c r="G146" s="76"/>
      <c r="H146" s="109">
        <v>13799.065060463852</v>
      </c>
      <c r="I146" s="109">
        <f>SUM(I144:I145)</f>
        <v>31725.780153878943</v>
      </c>
      <c r="J146" s="105"/>
    </row>
    <row r="147" spans="1:10" ht="13" x14ac:dyDescent="0.3">
      <c r="A147" s="91"/>
      <c r="B147" s="104"/>
      <c r="C147" s="74"/>
      <c r="D147" s="74"/>
      <c r="E147" s="74"/>
      <c r="F147" s="74"/>
      <c r="G147" s="76"/>
      <c r="H147" s="76"/>
      <c r="I147" s="76"/>
      <c r="J147" s="105"/>
    </row>
    <row r="148" spans="1:10" ht="13" x14ac:dyDescent="0.3">
      <c r="A148" s="91"/>
      <c r="B148" s="104" t="s">
        <v>45</v>
      </c>
      <c r="C148" s="74"/>
      <c r="D148" s="74"/>
      <c r="E148" s="74"/>
      <c r="F148" s="74"/>
      <c r="G148" s="74"/>
      <c r="H148" s="84">
        <v>13800</v>
      </c>
      <c r="I148" s="84">
        <f>ROUND(I146,-1)</f>
        <v>31730</v>
      </c>
      <c r="J148" s="110"/>
    </row>
    <row r="149" spans="1:10" ht="13" x14ac:dyDescent="0.3">
      <c r="A149" s="91"/>
      <c r="B149" s="74"/>
      <c r="C149" s="74"/>
      <c r="D149" s="74"/>
      <c r="E149" s="74"/>
      <c r="F149" s="74"/>
      <c r="G149" s="74"/>
      <c r="H149" s="76"/>
      <c r="I149" s="76"/>
      <c r="J149" s="105"/>
    </row>
    <row r="150" spans="1:10" ht="13" x14ac:dyDescent="0.3">
      <c r="A150" s="91"/>
      <c r="B150" s="74"/>
      <c r="C150" s="74"/>
      <c r="D150" s="74"/>
      <c r="E150" s="74"/>
      <c r="F150" s="74"/>
      <c r="G150" s="74"/>
      <c r="H150" s="112">
        <v>0</v>
      </c>
      <c r="I150" s="112">
        <f>(+I148-H148)/H148</f>
        <v>1.2992753623188407</v>
      </c>
      <c r="J150" s="113"/>
    </row>
    <row r="151" spans="1:10" ht="13.5" thickBot="1" x14ac:dyDescent="0.35">
      <c r="A151" s="448"/>
      <c r="B151" s="123"/>
      <c r="C151" s="123"/>
      <c r="D151" s="123"/>
      <c r="E151" s="123"/>
      <c r="F151" s="123"/>
      <c r="G151" s="123"/>
      <c r="H151" s="123"/>
      <c r="I151" s="123"/>
      <c r="J151" s="449"/>
    </row>
    <row r="152" spans="1:10" ht="13.5" thickTop="1" x14ac:dyDescent="0.3">
      <c r="A152" s="91"/>
      <c r="B152" s="74"/>
      <c r="C152" s="74"/>
      <c r="D152" s="74"/>
      <c r="E152" s="74"/>
      <c r="F152" s="74"/>
      <c r="G152" s="74"/>
      <c r="H152" s="74"/>
      <c r="I152" s="74"/>
      <c r="J152" s="95"/>
    </row>
    <row r="153" spans="1:10" ht="13.5" thickBot="1" x14ac:dyDescent="0.35">
      <c r="A153" s="91"/>
      <c r="B153" s="74"/>
      <c r="C153" s="74"/>
      <c r="D153" s="74"/>
      <c r="E153" s="74"/>
      <c r="F153" s="74"/>
      <c r="G153" s="74"/>
      <c r="H153" s="74"/>
      <c r="I153" s="74"/>
      <c r="J153" s="95"/>
    </row>
    <row r="154" spans="1:10" ht="13.5" thickTop="1" x14ac:dyDescent="0.3">
      <c r="A154" s="445"/>
      <c r="B154" s="120" t="s">
        <v>1</v>
      </c>
      <c r="C154" s="120"/>
      <c r="D154" s="120"/>
      <c r="E154" s="120"/>
      <c r="F154" s="120"/>
      <c r="G154" s="120"/>
      <c r="H154" s="120"/>
      <c r="I154" s="120"/>
      <c r="J154" s="446"/>
    </row>
    <row r="155" spans="1:10" ht="40.5" customHeight="1" x14ac:dyDescent="0.3">
      <c r="A155" s="91"/>
      <c r="B155" s="931" t="s">
        <v>462</v>
      </c>
      <c r="C155" s="932"/>
      <c r="D155" s="932"/>
      <c r="E155" s="932"/>
      <c r="F155" s="932"/>
      <c r="G155" s="933"/>
      <c r="H155" s="74"/>
      <c r="I155" s="74"/>
      <c r="J155" s="95"/>
    </row>
    <row r="156" spans="1:10" ht="15" customHeight="1" x14ac:dyDescent="0.3">
      <c r="A156" s="91"/>
      <c r="B156" s="125"/>
      <c r="C156" s="126"/>
      <c r="D156" s="126"/>
      <c r="E156" s="126"/>
      <c r="F156" s="126"/>
      <c r="G156" s="126"/>
      <c r="H156" s="74"/>
      <c r="I156" s="74"/>
      <c r="J156" s="95"/>
    </row>
    <row r="157" spans="1:10" ht="26.4" customHeight="1" x14ac:dyDescent="0.3">
      <c r="A157" s="91"/>
      <c r="B157" s="931" t="s">
        <v>512</v>
      </c>
      <c r="C157" s="932"/>
      <c r="D157" s="932"/>
      <c r="E157" s="932"/>
      <c r="F157" s="932"/>
      <c r="G157" s="933"/>
      <c r="H157" s="74"/>
      <c r="I157" s="74"/>
      <c r="J157" s="95"/>
    </row>
    <row r="158" spans="1:10" ht="13.5" thickBot="1" x14ac:dyDescent="0.35">
      <c r="A158" s="91"/>
      <c r="B158" s="74" t="s">
        <v>1</v>
      </c>
      <c r="C158" s="74"/>
      <c r="D158" s="74"/>
      <c r="E158" s="74"/>
      <c r="F158" s="74"/>
      <c r="G158" s="74"/>
      <c r="H158" s="74"/>
      <c r="I158" s="74"/>
      <c r="J158" s="95"/>
    </row>
    <row r="159" spans="1:10" ht="13.5" thickBot="1" x14ac:dyDescent="0.35">
      <c r="A159" s="91"/>
      <c r="B159" s="74"/>
      <c r="C159" s="74"/>
      <c r="D159" s="74"/>
      <c r="E159" s="74"/>
      <c r="F159" s="74"/>
      <c r="G159" s="74"/>
      <c r="H159" s="102" t="s">
        <v>239</v>
      </c>
      <c r="I159" s="102" t="s">
        <v>239</v>
      </c>
      <c r="J159" s="95"/>
    </row>
    <row r="160" spans="1:10" ht="13" x14ac:dyDescent="0.3">
      <c r="A160" s="91"/>
      <c r="B160" s="74" t="s">
        <v>1</v>
      </c>
      <c r="C160" s="74"/>
      <c r="D160" s="74"/>
      <c r="E160" s="74"/>
      <c r="F160" s="74"/>
      <c r="G160" s="74"/>
      <c r="H160" s="74"/>
      <c r="I160" s="74"/>
      <c r="J160" s="95"/>
    </row>
    <row r="161" spans="1:10" ht="13" x14ac:dyDescent="0.3">
      <c r="A161" s="91"/>
      <c r="B161" s="74"/>
      <c r="C161" s="74"/>
      <c r="D161" s="74"/>
      <c r="E161" s="74"/>
      <c r="F161" s="74"/>
      <c r="G161" s="74"/>
      <c r="H161" s="103" t="str">
        <f>+'Unit tariffs'!$F$11</f>
        <v>2026/2027</v>
      </c>
      <c r="I161" s="103" t="str">
        <f>+'Unit tariffs'!$F$11</f>
        <v>2026/2027</v>
      </c>
      <c r="J161" s="444" t="s">
        <v>313</v>
      </c>
    </row>
    <row r="162" spans="1:10" ht="13" x14ac:dyDescent="0.3">
      <c r="A162" s="91"/>
      <c r="B162" s="104" t="s">
        <v>41</v>
      </c>
      <c r="C162" s="74"/>
      <c r="D162" s="74"/>
      <c r="E162" s="74"/>
      <c r="F162" s="74"/>
      <c r="G162" s="74"/>
      <c r="H162" s="74"/>
      <c r="I162" s="74"/>
      <c r="J162" s="95"/>
    </row>
    <row r="163" spans="1:10" ht="13" x14ac:dyDescent="0.3">
      <c r="A163" s="91"/>
      <c r="B163" s="74"/>
      <c r="C163" s="74"/>
      <c r="D163" s="74"/>
      <c r="E163" s="74"/>
      <c r="F163" s="74"/>
      <c r="G163" s="74"/>
      <c r="H163" s="74"/>
      <c r="I163" s="74"/>
      <c r="J163" s="95"/>
    </row>
    <row r="164" spans="1:10" ht="13" x14ac:dyDescent="0.3">
      <c r="A164" s="91"/>
      <c r="B164" s="74">
        <v>1</v>
      </c>
      <c r="C164" s="85" t="str">
        <f>+'Unit tariffs'!B32</f>
        <v>TOU kWh meter - 80- 120Amp 220/240V</v>
      </c>
      <c r="D164" s="74"/>
      <c r="E164" s="74"/>
      <c r="F164" s="74"/>
      <c r="G164" s="74"/>
      <c r="H164" s="555">
        <v>5538.1406043608804</v>
      </c>
      <c r="I164" s="555">
        <f>VLOOKUP($C164,'Unit tariffs'!$B$21:$F$123,5,FALSE)*$B164</f>
        <v>5401.0797399999992</v>
      </c>
      <c r="J164" s="457" t="e">
        <f>IF(+I164*'Unit tariffs'!#REF!&gt;'Unit tariffs'!#REF!,'Unit tariffs'!#REF!,+I164*'Unit tariffs'!#REF!)</f>
        <v>#REF!</v>
      </c>
    </row>
    <row r="165" spans="1:10" ht="13" x14ac:dyDescent="0.3">
      <c r="A165" s="91"/>
      <c r="B165" s="74">
        <v>1</v>
      </c>
      <c r="C165" s="74" t="str">
        <f>'Unit tariffs'!B43</f>
        <v>x 80 A circuit breaker (5kA) - Orange</v>
      </c>
      <c r="D165" s="74"/>
      <c r="E165" s="74"/>
      <c r="F165" s="74"/>
      <c r="G165" s="74"/>
      <c r="H165" s="76">
        <v>195.804552748324</v>
      </c>
      <c r="I165" s="76">
        <f>VLOOKUP($C165,'Unit tariffs'!$B$21:$F$123,5,FALSE)*$B165</f>
        <v>0</v>
      </c>
      <c r="J165" s="457" t="e">
        <f>IF(+I165*'Unit tariffs'!#REF!&gt;'Unit tariffs'!#REF!,'Unit tariffs'!#REF!,+I165*'Unit tariffs'!#REF!)</f>
        <v>#REF!</v>
      </c>
    </row>
    <row r="166" spans="1:10" ht="13" x14ac:dyDescent="0.3">
      <c r="A166" s="91"/>
      <c r="B166" s="74">
        <v>1</v>
      </c>
      <c r="C166" s="74" t="s">
        <v>17</v>
      </c>
      <c r="D166" s="74"/>
      <c r="E166" s="74"/>
      <c r="F166" s="74"/>
      <c r="G166" s="74"/>
      <c r="H166" s="81">
        <v>271.44100000000003</v>
      </c>
      <c r="I166" s="81">
        <f>VLOOKUP($C166,'Unit tariffs'!$B$21:$F$123,5,FALSE)*$B166</f>
        <v>282.48325</v>
      </c>
      <c r="J166" s="457" t="e">
        <f>IF(+I166*'Unit tariffs'!#REF!&gt;'Unit tariffs'!#REF!,'Unit tariffs'!#REF!,+I166*'Unit tariffs'!#REF!)</f>
        <v>#REF!</v>
      </c>
    </row>
    <row r="167" spans="1:10" ht="13" x14ac:dyDescent="0.3">
      <c r="A167" s="91"/>
      <c r="B167" s="74"/>
      <c r="C167" s="74"/>
      <c r="D167" s="74"/>
      <c r="E167" s="74"/>
      <c r="F167" s="74"/>
      <c r="G167" s="74"/>
      <c r="H167" s="76">
        <v>6005.3861571092039</v>
      </c>
      <c r="I167" s="76">
        <f>SUM(I164:I166)</f>
        <v>5683.5629899999994</v>
      </c>
      <c r="J167" s="105"/>
    </row>
    <row r="168" spans="1:10" ht="13" x14ac:dyDescent="0.3">
      <c r="A168" s="91"/>
      <c r="B168" s="104"/>
      <c r="C168" s="74"/>
      <c r="D168" s="106"/>
      <c r="E168" s="74"/>
      <c r="F168" s="186"/>
      <c r="G168" s="74"/>
      <c r="H168" s="188"/>
      <c r="I168" s="188"/>
      <c r="J168" s="105"/>
    </row>
    <row r="169" spans="1:10" ht="13" x14ac:dyDescent="0.3">
      <c r="A169" s="91"/>
      <c r="B169" s="74"/>
      <c r="C169" s="74"/>
      <c r="D169" s="74"/>
      <c r="E169" s="74"/>
      <c r="F169" s="74"/>
      <c r="G169" s="76"/>
      <c r="H169" s="76"/>
      <c r="I169" s="76"/>
      <c r="J169" s="105"/>
    </row>
    <row r="170" spans="1:10" ht="13" x14ac:dyDescent="0.3">
      <c r="A170" s="91"/>
      <c r="B170" s="104" t="s">
        <v>42</v>
      </c>
      <c r="C170" s="74"/>
      <c r="D170" s="74"/>
      <c r="E170" s="74"/>
      <c r="F170" s="74"/>
      <c r="G170" s="74"/>
      <c r="H170" s="74"/>
      <c r="I170" s="74"/>
      <c r="J170" s="95"/>
    </row>
    <row r="171" spans="1:10" ht="13" x14ac:dyDescent="0.3">
      <c r="A171" s="91"/>
      <c r="B171" s="74"/>
      <c r="C171" s="74"/>
      <c r="D171" s="74"/>
      <c r="E171" s="74"/>
      <c r="F171" s="74"/>
      <c r="G171" s="74"/>
      <c r="H171" s="74"/>
      <c r="I171" s="74"/>
      <c r="J171" s="95"/>
    </row>
    <row r="172" spans="1:10" ht="13" x14ac:dyDescent="0.3">
      <c r="A172" s="91"/>
      <c r="B172" s="74">
        <v>1</v>
      </c>
      <c r="C172" s="74" t="str">
        <f>'Unit tariffs'!B$87</f>
        <v xml:space="preserve">hour-artisan </v>
      </c>
      <c r="D172" s="74"/>
      <c r="E172" s="74"/>
      <c r="F172" s="74"/>
      <c r="G172" s="74"/>
      <c r="H172" s="76">
        <v>322.85223173076923</v>
      </c>
      <c r="I172" s="76">
        <f>VLOOKUP($C172,'Unit tariffs'!$B$21:$F$123,5,FALSE)*$B172</f>
        <v>351.19276615384621</v>
      </c>
      <c r="J172" s="105"/>
    </row>
    <row r="173" spans="1:10" ht="13" x14ac:dyDescent="0.3">
      <c r="A173" s="91"/>
      <c r="B173" s="74">
        <v>2</v>
      </c>
      <c r="C173" s="74" t="str">
        <f>'Unit tariffs'!B$85</f>
        <v>hour-artisan assistant</v>
      </c>
      <c r="D173" s="74"/>
      <c r="E173" s="74"/>
      <c r="F173" s="74"/>
      <c r="G173" s="74"/>
      <c r="H173" s="81">
        <v>257.07161538461543</v>
      </c>
      <c r="I173" s="81">
        <f>VLOOKUP($C173,'Unit tariffs'!$B$21:$F$123,5,FALSE)*$B173</f>
        <v>279.64851692307695</v>
      </c>
      <c r="J173" s="105"/>
    </row>
    <row r="174" spans="1:10" ht="13" x14ac:dyDescent="0.3">
      <c r="A174" s="91"/>
      <c r="B174" s="74"/>
      <c r="C174" s="74"/>
      <c r="D174" s="74"/>
      <c r="E174" s="74"/>
      <c r="F174" s="74"/>
      <c r="G174" s="74"/>
      <c r="H174" s="76">
        <v>579.92384711538466</v>
      </c>
      <c r="I174" s="76">
        <f>SUM(I172:I173)</f>
        <v>630.84128307692322</v>
      </c>
      <c r="J174" s="105"/>
    </row>
    <row r="175" spans="1:10" ht="13" x14ac:dyDescent="0.3">
      <c r="A175" s="91"/>
      <c r="B175" s="104" t="s">
        <v>43</v>
      </c>
      <c r="C175" s="74"/>
      <c r="D175" s="74"/>
      <c r="E175" s="74"/>
      <c r="F175" s="74"/>
      <c r="G175" s="74"/>
      <c r="H175" s="74"/>
      <c r="I175" s="74"/>
      <c r="J175" s="95"/>
    </row>
    <row r="176" spans="1:10" ht="13" x14ac:dyDescent="0.3">
      <c r="A176" s="91"/>
      <c r="B176" s="74"/>
      <c r="C176" s="74"/>
      <c r="D176" s="74"/>
      <c r="E176" s="74"/>
      <c r="F176" s="74"/>
      <c r="G176" s="74"/>
      <c r="H176" s="74"/>
      <c r="I176" s="74"/>
      <c r="J176" s="95"/>
    </row>
    <row r="177" spans="1:10" ht="13" x14ac:dyDescent="0.3">
      <c r="A177" s="91"/>
      <c r="B177" s="74">
        <v>24</v>
      </c>
      <c r="C177" s="74" t="str">
        <f>'Unit tariffs'!B$111</f>
        <v>km-truck with platform</v>
      </c>
      <c r="D177" s="74"/>
      <c r="E177" s="74"/>
      <c r="F177" s="74"/>
      <c r="G177" s="74"/>
      <c r="H177" s="76">
        <v>1010.8920834182238</v>
      </c>
      <c r="I177" s="76">
        <f>VLOOKUP($C177,'Unit tariffs'!$B$21:$F$123,5,FALSE)*$B177</f>
        <v>1182.7997218118533</v>
      </c>
      <c r="J177" s="105"/>
    </row>
    <row r="178" spans="1:10" ht="13" x14ac:dyDescent="0.3">
      <c r="A178" s="91"/>
      <c r="B178" s="74">
        <v>1</v>
      </c>
      <c r="C178" s="74" t="str">
        <f>'Unit tariffs'!B$112</f>
        <v>hour-truck with platform</v>
      </c>
      <c r="D178" s="74"/>
      <c r="E178" s="74"/>
      <c r="F178" s="74"/>
      <c r="G178" s="74"/>
      <c r="H178" s="76">
        <v>204.98441731167313</v>
      </c>
      <c r="I178" s="76">
        <f>VLOOKUP($C178,'Unit tariffs'!$B$21:$F$123,5,FALSE)*$B178</f>
        <v>239.8431204962792</v>
      </c>
      <c r="J178" s="105"/>
    </row>
    <row r="179" spans="1:10" ht="13.5" thickBot="1" x14ac:dyDescent="0.35">
      <c r="A179" s="91"/>
      <c r="B179" s="74"/>
      <c r="C179" s="74"/>
      <c r="D179" s="74"/>
      <c r="E179" s="74"/>
      <c r="F179" s="74"/>
      <c r="G179" s="74"/>
      <c r="H179" s="107">
        <v>1215.8765007298969</v>
      </c>
      <c r="I179" s="107">
        <f>SUM(I177:I178)</f>
        <v>1422.6428423081325</v>
      </c>
      <c r="J179" s="105"/>
    </row>
    <row r="180" spans="1:10" ht="13.5" thickTop="1" x14ac:dyDescent="0.3">
      <c r="A180" s="91"/>
      <c r="B180" s="74"/>
      <c r="C180" s="74"/>
      <c r="D180" s="74"/>
      <c r="E180" s="74"/>
      <c r="F180" s="74"/>
      <c r="G180" s="76"/>
      <c r="H180" s="76">
        <v>7801.1865049544849</v>
      </c>
      <c r="I180" s="76">
        <f>I179+I174+I167</f>
        <v>7737.0471153850549</v>
      </c>
      <c r="J180" s="105"/>
    </row>
    <row r="181" spans="1:10" ht="13.5" thickBot="1" x14ac:dyDescent="0.35">
      <c r="A181" s="91"/>
      <c r="B181" s="104" t="str">
        <f>'Unit tariffs'!$B$7</f>
        <v>Administration Levy (Indirect Cost)</v>
      </c>
      <c r="C181" s="74"/>
      <c r="D181" s="106">
        <f>'Unit tariffs'!$C$7</f>
        <v>0.1</v>
      </c>
      <c r="E181" s="74" t="s">
        <v>311</v>
      </c>
      <c r="F181" s="186">
        <f>+'Unit tariffs'!$F$7</f>
        <v>10000</v>
      </c>
      <c r="G181" s="76"/>
      <c r="H181" s="108">
        <v>780.11865049544849</v>
      </c>
      <c r="I181" s="108">
        <f>IF(I180*$D181&gt;='Unit tariffs'!$E$7,'Unit tariffs'!$E$7,I180*$D181)</f>
        <v>773.70471153850553</v>
      </c>
      <c r="J181" s="105"/>
    </row>
    <row r="182" spans="1:10" ht="13.5" thickTop="1" x14ac:dyDescent="0.3">
      <c r="A182" s="91"/>
      <c r="B182" s="104" t="s">
        <v>44</v>
      </c>
      <c r="C182" s="74"/>
      <c r="D182" s="74"/>
      <c r="E182" s="74"/>
      <c r="F182" s="74"/>
      <c r="G182" s="76"/>
      <c r="H182" s="109">
        <v>8581.3051554499325</v>
      </c>
      <c r="I182" s="109">
        <f>SUM(I180:I181)</f>
        <v>8510.7518269235607</v>
      </c>
      <c r="J182" s="105"/>
    </row>
    <row r="183" spans="1:10" ht="13" x14ac:dyDescent="0.3">
      <c r="A183" s="91"/>
      <c r="B183" s="104"/>
      <c r="C183" s="74"/>
      <c r="D183" s="74"/>
      <c r="E183" s="74"/>
      <c r="F183" s="74"/>
      <c r="G183" s="76"/>
      <c r="H183" s="76"/>
      <c r="I183" s="76"/>
      <c r="J183" s="105"/>
    </row>
    <row r="184" spans="1:10" ht="13" x14ac:dyDescent="0.3">
      <c r="A184" s="91"/>
      <c r="B184" s="104" t="s">
        <v>45</v>
      </c>
      <c r="C184" s="74"/>
      <c r="D184" s="74"/>
      <c r="E184" s="74"/>
      <c r="F184" s="74"/>
      <c r="G184" s="74"/>
      <c r="H184" s="84">
        <v>8580</v>
      </c>
      <c r="I184" s="84">
        <f>ROUND(I182,-1)</f>
        <v>8510</v>
      </c>
      <c r="J184" s="110"/>
    </row>
    <row r="185" spans="1:10" ht="13" x14ac:dyDescent="0.3">
      <c r="A185" s="91"/>
      <c r="B185" s="74"/>
      <c r="C185" s="74"/>
      <c r="D185" s="74"/>
      <c r="E185" s="74"/>
      <c r="F185" s="74"/>
      <c r="G185" s="74"/>
      <c r="H185" s="76"/>
      <c r="I185" s="76"/>
      <c r="J185" s="105"/>
    </row>
    <row r="186" spans="1:10" ht="13" x14ac:dyDescent="0.3">
      <c r="A186" s="91"/>
      <c r="B186" s="74"/>
      <c r="C186" s="74"/>
      <c r="D186" s="74"/>
      <c r="E186" s="74"/>
      <c r="F186" s="74"/>
      <c r="G186" s="74"/>
      <c r="H186" s="112">
        <v>0</v>
      </c>
      <c r="I186" s="112">
        <f>(+I184-H184)/H184</f>
        <v>-8.1585081585081581E-3</v>
      </c>
      <c r="J186" s="113"/>
    </row>
    <row r="187" spans="1:10" ht="13.5" thickBot="1" x14ac:dyDescent="0.35">
      <c r="A187" s="448"/>
      <c r="B187" s="123"/>
      <c r="C187" s="123"/>
      <c r="D187" s="123"/>
      <c r="E187" s="123"/>
      <c r="F187" s="123"/>
      <c r="G187" s="123"/>
      <c r="H187" s="123"/>
      <c r="I187" s="123"/>
      <c r="J187" s="449"/>
    </row>
    <row r="188" spans="1:10" ht="13.5" thickTop="1" x14ac:dyDescent="0.3">
      <c r="A188" s="91"/>
      <c r="B188" s="74"/>
      <c r="C188" s="74"/>
      <c r="D188" s="74"/>
      <c r="E188" s="74"/>
      <c r="F188" s="74"/>
      <c r="G188" s="74"/>
      <c r="H188" s="74"/>
      <c r="I188" s="74"/>
      <c r="J188" s="95"/>
    </row>
    <row r="189" spans="1:10" ht="13.5" thickBot="1" x14ac:dyDescent="0.35">
      <c r="A189" s="91"/>
      <c r="B189" s="74"/>
      <c r="C189" s="74"/>
      <c r="D189" s="74"/>
      <c r="E189" s="74"/>
      <c r="F189" s="74"/>
      <c r="G189" s="74"/>
      <c r="H189" s="74"/>
      <c r="I189" s="74"/>
      <c r="J189" s="95"/>
    </row>
    <row r="190" spans="1:10" ht="13.5" thickTop="1" x14ac:dyDescent="0.3">
      <c r="A190" s="445"/>
      <c r="B190" s="120" t="s">
        <v>1</v>
      </c>
      <c r="C190" s="120"/>
      <c r="D190" s="120"/>
      <c r="E190" s="120"/>
      <c r="F190" s="120"/>
      <c r="G190" s="120"/>
      <c r="H190" s="120"/>
      <c r="I190" s="120"/>
      <c r="J190" s="446"/>
    </row>
    <row r="191" spans="1:10" ht="15.75" customHeight="1" thickBot="1" x14ac:dyDescent="0.35">
      <c r="A191" s="91"/>
      <c r="B191" s="953" t="s">
        <v>463</v>
      </c>
      <c r="C191" s="954"/>
      <c r="D191" s="954"/>
      <c r="E191" s="954"/>
      <c r="F191" s="954"/>
      <c r="G191" s="955"/>
      <c r="H191" s="74"/>
      <c r="I191" s="74"/>
      <c r="J191" s="95"/>
    </row>
    <row r="192" spans="1:10" ht="13.5" thickBot="1" x14ac:dyDescent="0.35">
      <c r="A192" s="91"/>
      <c r="B192" s="74" t="s">
        <v>1</v>
      </c>
      <c r="C192" s="74"/>
      <c r="D192" s="74"/>
      <c r="E192" s="74"/>
      <c r="F192" s="74"/>
      <c r="G192" s="74"/>
      <c r="H192" s="102" t="s">
        <v>239</v>
      </c>
      <c r="I192" s="102" t="s">
        <v>239</v>
      </c>
      <c r="J192" s="95"/>
    </row>
    <row r="193" spans="1:10" ht="13" x14ac:dyDescent="0.3">
      <c r="A193" s="91"/>
      <c r="B193" s="74" t="s">
        <v>1</v>
      </c>
      <c r="C193" s="74"/>
      <c r="D193" s="74"/>
      <c r="E193" s="74"/>
      <c r="F193" s="74"/>
      <c r="G193" s="74"/>
      <c r="H193" s="74"/>
      <c r="I193" s="74"/>
      <c r="J193" s="95"/>
    </row>
    <row r="194" spans="1:10" ht="13" x14ac:dyDescent="0.3">
      <c r="A194" s="91"/>
      <c r="B194" s="74"/>
      <c r="C194" s="74"/>
      <c r="D194" s="74"/>
      <c r="E194" s="74"/>
      <c r="F194" s="74"/>
      <c r="G194" s="74"/>
      <c r="H194" s="103" t="str">
        <f>+'Unit tariffs'!$F$11</f>
        <v>2026/2027</v>
      </c>
      <c r="I194" s="103" t="str">
        <f>+'Unit tariffs'!$F$11</f>
        <v>2026/2027</v>
      </c>
      <c r="J194" s="444" t="s">
        <v>313</v>
      </c>
    </row>
    <row r="195" spans="1:10" ht="13" x14ac:dyDescent="0.3">
      <c r="A195" s="91"/>
      <c r="B195" s="104" t="s">
        <v>41</v>
      </c>
      <c r="C195" s="74"/>
      <c r="D195" s="74"/>
      <c r="E195" s="74"/>
      <c r="F195" s="74"/>
      <c r="G195" s="74"/>
      <c r="H195" s="74"/>
      <c r="I195" s="74"/>
      <c r="J195" s="95"/>
    </row>
    <row r="196" spans="1:10" ht="13" x14ac:dyDescent="0.3">
      <c r="A196" s="91"/>
      <c r="B196" s="74"/>
      <c r="C196" s="74"/>
      <c r="D196" s="74"/>
      <c r="E196" s="74"/>
      <c r="F196" s="74"/>
      <c r="G196" s="74"/>
      <c r="H196" s="74"/>
      <c r="I196" s="74"/>
      <c r="J196" s="95"/>
    </row>
    <row r="197" spans="1:10" ht="13" x14ac:dyDescent="0.3">
      <c r="A197" s="91"/>
      <c r="B197" s="74">
        <v>1</v>
      </c>
      <c r="C197" s="74" t="str">
        <f>'Unit tariffs'!B34</f>
        <v>METER:S/P WIRED PRE-PAID</v>
      </c>
      <c r="D197" s="74"/>
      <c r="E197" s="74"/>
      <c r="F197" s="74"/>
      <c r="G197" s="74"/>
      <c r="H197" s="76">
        <v>2262.7591214051877</v>
      </c>
      <c r="I197" s="76">
        <f>VLOOKUP($C197,'Unit tariffs'!$B$21:$F$123,5,FALSE)*$B197</f>
        <v>2142.3529679999997</v>
      </c>
      <c r="J197" s="457" t="e">
        <f>IF(+I197*'Unit tariffs'!#REF!&gt;'Unit tariffs'!#REF!,'Unit tariffs'!#REF!,+I197*'Unit tariffs'!#REF!)</f>
        <v>#REF!</v>
      </c>
    </row>
    <row r="198" spans="1:10" ht="13" x14ac:dyDescent="0.3">
      <c r="A198" s="91"/>
      <c r="B198" s="74">
        <v>1</v>
      </c>
      <c r="C198" s="74" t="str">
        <f>'Unit tariffs'!B43</f>
        <v>x 80 A circuit breaker (5kA) - Orange</v>
      </c>
      <c r="D198" s="74"/>
      <c r="E198" s="74"/>
      <c r="F198" s="74"/>
      <c r="G198" s="74"/>
      <c r="H198" s="76">
        <v>195.804552748324</v>
      </c>
      <c r="I198" s="76">
        <f>VLOOKUP($C198,'Unit tariffs'!$B$21:$F$123,5,FALSE)*$B198</f>
        <v>0</v>
      </c>
      <c r="J198" s="457" t="e">
        <f>IF(+I198*'Unit tariffs'!#REF!&gt;'Unit tariffs'!#REF!,'Unit tariffs'!#REF!,+I198*'Unit tariffs'!#REF!)</f>
        <v>#REF!</v>
      </c>
    </row>
    <row r="199" spans="1:10" ht="13" x14ac:dyDescent="0.3">
      <c r="A199" s="91"/>
      <c r="B199" s="74">
        <v>1</v>
      </c>
      <c r="C199" s="74" t="str">
        <f>'Unit tariffs'!B21</f>
        <v>Installation material</v>
      </c>
      <c r="D199" s="74"/>
      <c r="E199" s="74"/>
      <c r="F199" s="74"/>
      <c r="G199" s="74"/>
      <c r="H199" s="81">
        <v>271.44100000000003</v>
      </c>
      <c r="I199" s="81">
        <f>VLOOKUP($C199,'Unit tariffs'!$B$21:$F$123,5,FALSE)*$B199</f>
        <v>282.48325</v>
      </c>
      <c r="J199" s="457" t="e">
        <f>IF(+I199*'Unit tariffs'!#REF!&gt;'Unit tariffs'!#REF!,'Unit tariffs'!#REF!,+I199*'Unit tariffs'!#REF!)</f>
        <v>#REF!</v>
      </c>
    </row>
    <row r="200" spans="1:10" ht="13" x14ac:dyDescent="0.3">
      <c r="A200" s="91"/>
      <c r="B200" s="74"/>
      <c r="C200" s="74"/>
      <c r="D200" s="74"/>
      <c r="E200" s="74"/>
      <c r="F200" s="74"/>
      <c r="G200" s="74"/>
      <c r="H200" s="76">
        <v>2730.0046741535116</v>
      </c>
      <c r="I200" s="76">
        <f>SUM(I197:I199)</f>
        <v>2424.8362179999995</v>
      </c>
      <c r="J200" s="105"/>
    </row>
    <row r="201" spans="1:10" ht="13" x14ac:dyDescent="0.3">
      <c r="A201" s="91"/>
      <c r="B201" s="104" t="s">
        <v>42</v>
      </c>
      <c r="C201" s="74"/>
      <c r="D201" s="74"/>
      <c r="E201" s="74"/>
      <c r="F201" s="74"/>
      <c r="G201" s="74"/>
      <c r="H201" s="74"/>
      <c r="I201" s="74"/>
      <c r="J201" s="95"/>
    </row>
    <row r="202" spans="1:10" ht="13" x14ac:dyDescent="0.3">
      <c r="A202" s="91"/>
      <c r="B202" s="74"/>
      <c r="C202" s="74"/>
      <c r="D202" s="74"/>
      <c r="E202" s="74"/>
      <c r="F202" s="74"/>
      <c r="G202" s="74"/>
      <c r="H202" s="74"/>
      <c r="I202" s="74"/>
      <c r="J202" s="95"/>
    </row>
    <row r="203" spans="1:10" ht="13" x14ac:dyDescent="0.3">
      <c r="A203" s="91"/>
      <c r="B203" s="74">
        <v>1</v>
      </c>
      <c r="C203" s="74" t="str">
        <f>'Unit tariffs'!B$87</f>
        <v xml:space="preserve">hour-artisan </v>
      </c>
      <c r="D203" s="74"/>
      <c r="E203" s="74"/>
      <c r="F203" s="74"/>
      <c r="G203" s="74"/>
      <c r="H203" s="76">
        <v>322.85223173076923</v>
      </c>
      <c r="I203" s="76">
        <f>VLOOKUP($C203,'Unit tariffs'!$B$21:$F$123,5,FALSE)*$B203</f>
        <v>351.19276615384621</v>
      </c>
      <c r="J203" s="105"/>
    </row>
    <row r="204" spans="1:10" ht="13" x14ac:dyDescent="0.3">
      <c r="A204" s="91"/>
      <c r="B204" s="74">
        <v>2</v>
      </c>
      <c r="C204" s="74" t="str">
        <f>'Unit tariffs'!B$85</f>
        <v>hour-artisan assistant</v>
      </c>
      <c r="D204" s="74"/>
      <c r="E204" s="74"/>
      <c r="F204" s="74"/>
      <c r="G204" s="74"/>
      <c r="H204" s="81">
        <v>257.07161538461543</v>
      </c>
      <c r="I204" s="81">
        <f>VLOOKUP($C204,'Unit tariffs'!$B$21:$F$123,5,FALSE)*$B204</f>
        <v>279.64851692307695</v>
      </c>
      <c r="J204" s="105"/>
    </row>
    <row r="205" spans="1:10" ht="13" x14ac:dyDescent="0.3">
      <c r="A205" s="91"/>
      <c r="B205" s="74"/>
      <c r="C205" s="74"/>
      <c r="D205" s="74"/>
      <c r="E205" s="74"/>
      <c r="F205" s="74"/>
      <c r="G205" s="74"/>
      <c r="H205" s="76">
        <v>579.92384711538466</v>
      </c>
      <c r="I205" s="76">
        <f>SUM(I203:I204)</f>
        <v>630.84128307692322</v>
      </c>
      <c r="J205" s="105"/>
    </row>
    <row r="206" spans="1:10" ht="13" x14ac:dyDescent="0.3">
      <c r="A206" s="91"/>
      <c r="B206" s="104" t="s">
        <v>43</v>
      </c>
      <c r="C206" s="74"/>
      <c r="D206" s="74"/>
      <c r="E206" s="74"/>
      <c r="F206" s="74"/>
      <c r="G206" s="74"/>
      <c r="H206" s="74"/>
      <c r="I206" s="74"/>
      <c r="J206" s="95"/>
    </row>
    <row r="207" spans="1:10" ht="13" x14ac:dyDescent="0.3">
      <c r="A207" s="91"/>
      <c r="B207" s="74"/>
      <c r="C207" s="74"/>
      <c r="D207" s="74"/>
      <c r="E207" s="74"/>
      <c r="F207" s="74"/>
      <c r="G207" s="74"/>
      <c r="H207" s="74"/>
      <c r="I207" s="74"/>
      <c r="J207" s="95"/>
    </row>
    <row r="208" spans="1:10" ht="13" x14ac:dyDescent="0.3">
      <c r="A208" s="91"/>
      <c r="B208" s="74">
        <v>24</v>
      </c>
      <c r="C208" s="74" t="str">
        <f>'Unit tariffs'!B$111</f>
        <v>km-truck with platform</v>
      </c>
      <c r="D208" s="74"/>
      <c r="E208" s="74"/>
      <c r="F208" s="74"/>
      <c r="G208" s="74"/>
      <c r="H208" s="76">
        <v>1010.8920834182238</v>
      </c>
      <c r="I208" s="76">
        <f>VLOOKUP($C208,'Unit tariffs'!$B$21:$F$123,5,FALSE)*$B208</f>
        <v>1182.7997218118533</v>
      </c>
      <c r="J208" s="105"/>
    </row>
    <row r="209" spans="1:10" ht="13" x14ac:dyDescent="0.3">
      <c r="A209" s="91"/>
      <c r="B209" s="74">
        <v>1</v>
      </c>
      <c r="C209" s="74" t="str">
        <f>'Unit tariffs'!B$112</f>
        <v>hour-truck with platform</v>
      </c>
      <c r="D209" s="74"/>
      <c r="E209" s="74"/>
      <c r="F209" s="74"/>
      <c r="G209" s="74"/>
      <c r="H209" s="81">
        <v>204.98441731167313</v>
      </c>
      <c r="I209" s="81">
        <f>VLOOKUP($C209,'Unit tariffs'!$B$21:$F$123,5,FALSE)*$B209</f>
        <v>239.8431204962792</v>
      </c>
      <c r="J209" s="105"/>
    </row>
    <row r="210" spans="1:10" ht="13.5" thickBot="1" x14ac:dyDescent="0.35">
      <c r="A210" s="91"/>
      <c r="B210" s="74"/>
      <c r="C210" s="74"/>
      <c r="D210" s="74"/>
      <c r="E210" s="74"/>
      <c r="F210" s="74"/>
      <c r="G210" s="74"/>
      <c r="H210" s="107">
        <v>1215.8765007298969</v>
      </c>
      <c r="I210" s="107">
        <f>SUM(I208:I209)</f>
        <v>1422.6428423081325</v>
      </c>
      <c r="J210" s="105"/>
    </row>
    <row r="211" spans="1:10" ht="13.5" thickTop="1" x14ac:dyDescent="0.3">
      <c r="A211" s="91"/>
      <c r="B211" s="74"/>
      <c r="C211" s="74"/>
      <c r="D211" s="74"/>
      <c r="E211" s="74"/>
      <c r="F211" s="74"/>
      <c r="G211" s="74"/>
      <c r="H211" s="76">
        <v>4525.8050219987927</v>
      </c>
      <c r="I211" s="76">
        <f>I210+I205+I200</f>
        <v>4478.3203433850549</v>
      </c>
      <c r="J211" s="105"/>
    </row>
    <row r="212" spans="1:10" ht="13.5" thickBot="1" x14ac:dyDescent="0.35">
      <c r="A212" s="91"/>
      <c r="B212" s="104" t="str">
        <f>'Unit tariffs'!$B$7</f>
        <v>Administration Levy (Indirect Cost)</v>
      </c>
      <c r="C212" s="74"/>
      <c r="D212" s="106">
        <f>'Unit tariffs'!$C$7</f>
        <v>0.1</v>
      </c>
      <c r="E212" s="74" t="s">
        <v>311</v>
      </c>
      <c r="F212" s="186">
        <f>+'Unit tariffs'!$F$7</f>
        <v>10000</v>
      </c>
      <c r="G212" s="74"/>
      <c r="H212" s="108">
        <v>452.58050219987928</v>
      </c>
      <c r="I212" s="108">
        <f>IF(I211*$D212&gt;='Unit tariffs'!$E$7,'Unit tariffs'!$E$7,I211*$D212)</f>
        <v>447.83203433850554</v>
      </c>
      <c r="J212" s="105"/>
    </row>
    <row r="213" spans="1:10" ht="13.5" thickTop="1" x14ac:dyDescent="0.3">
      <c r="A213" s="91"/>
      <c r="B213" s="104" t="s">
        <v>44</v>
      </c>
      <c r="C213" s="74"/>
      <c r="D213" s="74"/>
      <c r="E213" s="74"/>
      <c r="F213" s="74"/>
      <c r="G213" s="74"/>
      <c r="H213" s="109">
        <v>4978.3855241986721</v>
      </c>
      <c r="I213" s="109">
        <f>SUM(I211:I212)</f>
        <v>4926.1523777235607</v>
      </c>
      <c r="J213" s="105"/>
    </row>
    <row r="214" spans="1:10" ht="13" x14ac:dyDescent="0.3">
      <c r="A214" s="91"/>
      <c r="B214" s="74"/>
      <c r="C214" s="74"/>
      <c r="D214" s="74"/>
      <c r="E214" s="74"/>
      <c r="F214" s="74"/>
      <c r="G214" s="74"/>
      <c r="H214" s="74"/>
      <c r="I214" s="74"/>
      <c r="J214" s="95"/>
    </row>
    <row r="215" spans="1:10" ht="13" x14ac:dyDescent="0.3">
      <c r="A215" s="91"/>
      <c r="B215" s="104" t="s">
        <v>45</v>
      </c>
      <c r="C215" s="74"/>
      <c r="D215" s="74"/>
      <c r="E215" s="74"/>
      <c r="F215" s="74"/>
      <c r="G215" s="74"/>
      <c r="H215" s="84">
        <v>4980</v>
      </c>
      <c r="I215" s="84">
        <f>ROUND(I213,-1)</f>
        <v>4930</v>
      </c>
      <c r="J215" s="110"/>
    </row>
    <row r="216" spans="1:10" ht="13" x14ac:dyDescent="0.3">
      <c r="A216" s="91"/>
      <c r="B216" s="74"/>
      <c r="C216" s="74"/>
      <c r="D216" s="74"/>
      <c r="E216" s="74"/>
      <c r="F216" s="74"/>
      <c r="G216" s="74"/>
      <c r="H216" s="76"/>
      <c r="I216" s="76"/>
      <c r="J216" s="105"/>
    </row>
    <row r="217" spans="1:10" ht="13" x14ac:dyDescent="0.3">
      <c r="A217" s="91"/>
      <c r="B217" s="74"/>
      <c r="C217" s="74"/>
      <c r="D217" s="74"/>
      <c r="E217" s="74"/>
      <c r="F217" s="74"/>
      <c r="G217" s="74"/>
      <c r="H217" s="112">
        <v>0</v>
      </c>
      <c r="I217" s="112">
        <f>(+I215-H215)/H215</f>
        <v>-1.0040160642570281E-2</v>
      </c>
      <c r="J217" s="113"/>
    </row>
    <row r="218" spans="1:10" ht="13.5" thickBot="1" x14ac:dyDescent="0.35">
      <c r="A218" s="448"/>
      <c r="B218" s="123"/>
      <c r="C218" s="123"/>
      <c r="D218" s="123"/>
      <c r="E218" s="123"/>
      <c r="F218" s="123"/>
      <c r="G218" s="123"/>
      <c r="H218" s="123"/>
      <c r="I218" s="123"/>
      <c r="J218" s="449"/>
    </row>
    <row r="219" spans="1:10" ht="15" customHeight="1" thickTop="1" thickBot="1" x14ac:dyDescent="0.4">
      <c r="A219" s="91"/>
      <c r="B219" s="87"/>
      <c r="C219" s="74"/>
      <c r="D219" s="74"/>
      <c r="E219" s="74"/>
      <c r="F219" s="74"/>
      <c r="G219" s="74"/>
      <c r="H219" s="76"/>
      <c r="I219" s="76"/>
      <c r="J219" s="95"/>
    </row>
    <row r="220" spans="1:10" ht="14" thickTop="1" thickBot="1" x14ac:dyDescent="0.35">
      <c r="A220" s="445"/>
      <c r="B220" s="120" t="s">
        <v>1</v>
      </c>
      <c r="C220" s="120"/>
      <c r="D220" s="120"/>
      <c r="E220" s="120"/>
      <c r="F220" s="120"/>
      <c r="G220" s="120"/>
      <c r="H220" s="120"/>
      <c r="I220" s="120"/>
      <c r="J220" s="446"/>
    </row>
    <row r="221" spans="1:10" ht="35.4" customHeight="1" thickBot="1" x14ac:dyDescent="0.35">
      <c r="A221" s="91"/>
      <c r="B221" s="937" t="s">
        <v>513</v>
      </c>
      <c r="C221" s="938"/>
      <c r="D221" s="938"/>
      <c r="E221" s="938"/>
      <c r="F221" s="938"/>
      <c r="G221" s="939"/>
      <c r="H221" s="356" t="s">
        <v>239</v>
      </c>
      <c r="I221" s="356" t="s">
        <v>239</v>
      </c>
      <c r="J221" s="95"/>
    </row>
    <row r="222" spans="1:10" ht="13" x14ac:dyDescent="0.3">
      <c r="A222" s="91"/>
      <c r="B222" s="122"/>
      <c r="C222" s="74"/>
      <c r="D222" s="74"/>
      <c r="E222" s="74"/>
      <c r="F222" s="74"/>
      <c r="G222" s="74"/>
      <c r="H222" s="74"/>
      <c r="I222" s="74"/>
      <c r="J222" s="95"/>
    </row>
    <row r="223" spans="1:10" ht="13" x14ac:dyDescent="0.3">
      <c r="A223" s="91"/>
      <c r="B223" s="74" t="s">
        <v>102</v>
      </c>
      <c r="C223" s="74"/>
      <c r="D223" s="74"/>
      <c r="E223" s="74"/>
      <c r="F223" s="74"/>
      <c r="G223" s="74"/>
      <c r="H223" s="74"/>
      <c r="I223" s="74"/>
      <c r="J223" s="95"/>
    </row>
    <row r="224" spans="1:10" ht="13" x14ac:dyDescent="0.3">
      <c r="A224" s="91"/>
      <c r="B224" s="74" t="s">
        <v>103</v>
      </c>
      <c r="C224" s="74"/>
      <c r="D224" s="74"/>
      <c r="E224" s="74"/>
      <c r="F224" s="74"/>
      <c r="G224" s="74"/>
      <c r="H224" s="74"/>
      <c r="I224" s="74"/>
      <c r="J224" s="95"/>
    </row>
    <row r="225" spans="1:10" ht="13" x14ac:dyDescent="0.3">
      <c r="A225" s="91"/>
      <c r="B225" s="74" t="s">
        <v>140</v>
      </c>
      <c r="C225" s="74"/>
      <c r="D225" s="74"/>
      <c r="E225" s="74"/>
      <c r="F225" s="74"/>
      <c r="G225" s="74"/>
      <c r="H225" s="74"/>
      <c r="I225" s="74"/>
      <c r="J225" s="95"/>
    </row>
    <row r="226" spans="1:10" ht="13" x14ac:dyDescent="0.3">
      <c r="A226" s="91"/>
      <c r="B226" s="74"/>
      <c r="C226" s="74"/>
      <c r="D226" s="74"/>
      <c r="E226" s="74"/>
      <c r="F226" s="74"/>
      <c r="G226" s="74"/>
      <c r="H226" s="74"/>
      <c r="I226" s="74"/>
      <c r="J226" s="95"/>
    </row>
    <row r="227" spans="1:10" ht="13" x14ac:dyDescent="0.3">
      <c r="A227" s="91"/>
      <c r="B227" s="104"/>
      <c r="C227" s="104"/>
      <c r="D227" s="104"/>
      <c r="E227" s="104"/>
      <c r="F227" s="104"/>
      <c r="G227" s="104"/>
      <c r="H227" s="104"/>
      <c r="I227" s="104"/>
      <c r="J227" s="451"/>
    </row>
    <row r="228" spans="1:10" ht="13" x14ac:dyDescent="0.3">
      <c r="A228" s="91"/>
      <c r="B228" s="214" t="s">
        <v>260</v>
      </c>
      <c r="C228" s="215"/>
      <c r="D228" s="215"/>
      <c r="E228" s="215"/>
      <c r="F228" s="74"/>
      <c r="G228" s="74"/>
      <c r="H228" s="103" t="str">
        <f>+'Unit tariffs'!$F$11</f>
        <v>2026/2027</v>
      </c>
      <c r="I228" s="103" t="str">
        <f>+'Unit tariffs'!$F$11</f>
        <v>2026/2027</v>
      </c>
      <c r="J228" s="444"/>
    </row>
    <row r="229" spans="1:10" ht="13" x14ac:dyDescent="0.3">
      <c r="A229" s="91"/>
      <c r="B229" s="74"/>
      <c r="C229" s="74"/>
      <c r="D229" s="74"/>
      <c r="E229" s="74"/>
      <c r="F229" s="74"/>
      <c r="G229" s="74"/>
      <c r="H229" s="103"/>
      <c r="I229" s="103"/>
      <c r="J229" s="444"/>
    </row>
    <row r="230" spans="1:10" ht="13" x14ac:dyDescent="0.3">
      <c r="A230" s="91"/>
      <c r="B230" s="104" t="s">
        <v>41</v>
      </c>
      <c r="C230" s="74"/>
      <c r="D230" s="74"/>
      <c r="E230" s="74"/>
      <c r="F230" s="74" t="s">
        <v>219</v>
      </c>
      <c r="G230" s="74"/>
      <c r="H230" s="675">
        <v>0</v>
      </c>
      <c r="I230" s="675">
        <v>0</v>
      </c>
      <c r="J230" s="95"/>
    </row>
    <row r="231" spans="1:10" ht="13" x14ac:dyDescent="0.3">
      <c r="A231" s="91"/>
      <c r="B231" s="104" t="s">
        <v>42</v>
      </c>
      <c r="C231" s="74"/>
      <c r="D231" s="74"/>
      <c r="E231" s="74"/>
      <c r="F231" s="74"/>
      <c r="G231" s="74"/>
      <c r="H231" s="74">
        <v>0</v>
      </c>
      <c r="I231" s="74">
        <f>SUM(I230)</f>
        <v>0</v>
      </c>
      <c r="J231" s="95"/>
    </row>
    <row r="232" spans="1:10" ht="13" x14ac:dyDescent="0.3">
      <c r="A232" s="91"/>
      <c r="B232" s="74"/>
      <c r="C232" s="74"/>
      <c r="D232" s="74"/>
      <c r="E232" s="74"/>
      <c r="F232" s="74"/>
      <c r="G232" s="74"/>
      <c r="H232" s="74"/>
      <c r="I232" s="74"/>
      <c r="J232" s="95"/>
    </row>
    <row r="233" spans="1:10" ht="13" x14ac:dyDescent="0.3">
      <c r="A233" s="91"/>
      <c r="B233" s="74">
        <v>0.8</v>
      </c>
      <c r="C233" s="74" t="str">
        <f>'Unit tariffs'!B$87</f>
        <v xml:space="preserve">hour-artisan </v>
      </c>
      <c r="D233" s="74"/>
      <c r="E233" s="74"/>
      <c r="F233" s="74"/>
      <c r="G233" s="74"/>
      <c r="H233" s="76">
        <v>258.28178538461538</v>
      </c>
      <c r="I233" s="76">
        <f>VLOOKUP($C233,'Unit tariffs'!$B$21:$F$123,5,FALSE)*$B233</f>
        <v>280.95421292307697</v>
      </c>
      <c r="J233" s="105"/>
    </row>
    <row r="234" spans="1:10" ht="13" x14ac:dyDescent="0.3">
      <c r="A234" s="91"/>
      <c r="B234" s="74">
        <v>0.8</v>
      </c>
      <c r="C234" s="74" t="str">
        <f>'Unit tariffs'!B$85</f>
        <v>hour-artisan assistant</v>
      </c>
      <c r="D234" s="74"/>
      <c r="E234" s="74"/>
      <c r="F234" s="74"/>
      <c r="G234" s="74"/>
      <c r="H234" s="81">
        <v>102.82864615384618</v>
      </c>
      <c r="I234" s="81">
        <f>VLOOKUP($C234,'Unit tariffs'!$B$21:$F$123,5,FALSE)*$B234</f>
        <v>111.85940676923079</v>
      </c>
      <c r="J234" s="105"/>
    </row>
    <row r="235" spans="1:10" ht="13" x14ac:dyDescent="0.3">
      <c r="A235" s="91"/>
      <c r="B235" s="74"/>
      <c r="C235" s="74"/>
      <c r="D235" s="74"/>
      <c r="E235" s="74"/>
      <c r="F235" s="74"/>
      <c r="G235" s="74"/>
      <c r="H235" s="76">
        <v>361.11043153846157</v>
      </c>
      <c r="I235" s="76">
        <f>SUM(I233:I234)</f>
        <v>392.81361969230773</v>
      </c>
      <c r="J235" s="105"/>
    </row>
    <row r="236" spans="1:10" ht="13" x14ac:dyDescent="0.3">
      <c r="A236" s="91"/>
      <c r="B236" s="104" t="s">
        <v>43</v>
      </c>
      <c r="C236" s="74"/>
      <c r="D236" s="74"/>
      <c r="E236" s="74"/>
      <c r="F236" s="74"/>
      <c r="G236" s="74"/>
      <c r="H236" s="74"/>
      <c r="I236" s="74"/>
      <c r="J236" s="95"/>
    </row>
    <row r="237" spans="1:10" ht="13" x14ac:dyDescent="0.3">
      <c r="A237" s="91"/>
      <c r="B237" s="74"/>
      <c r="C237" s="74"/>
      <c r="D237" s="74"/>
      <c r="E237" s="74"/>
      <c r="F237" s="74"/>
      <c r="G237" s="74"/>
      <c r="H237" s="74"/>
      <c r="I237" s="74"/>
      <c r="J237" s="95"/>
    </row>
    <row r="238" spans="1:10" ht="13" x14ac:dyDescent="0.3">
      <c r="A238" s="91"/>
      <c r="B238" s="74">
        <v>12</v>
      </c>
      <c r="C238" s="77" t="s">
        <v>48</v>
      </c>
      <c r="D238" s="74"/>
      <c r="E238" s="74"/>
      <c r="F238" s="74"/>
      <c r="G238" s="74"/>
      <c r="H238" s="76">
        <v>280.86606346374646</v>
      </c>
      <c r="I238" s="76">
        <f>VLOOKUP($C238,'Unit tariffs'!$B$21:$F$123,5,FALSE)*$B238</f>
        <v>328.62884889550492</v>
      </c>
      <c r="J238" s="105"/>
    </row>
    <row r="239" spans="1:10" ht="13" x14ac:dyDescent="0.3">
      <c r="A239" s="91"/>
      <c r="B239" s="74">
        <v>0.5</v>
      </c>
      <c r="C239" s="77" t="s">
        <v>49</v>
      </c>
      <c r="D239" s="74"/>
      <c r="E239" s="74"/>
      <c r="F239" s="74"/>
      <c r="G239" s="74"/>
      <c r="H239" s="76">
        <v>102.28078559587203</v>
      </c>
      <c r="I239" s="76">
        <f>VLOOKUP($C239,'Unit tariffs'!$B$21:$F$123,5,FALSE)*$B239</f>
        <v>119.67418355916104</v>
      </c>
      <c r="J239" s="105"/>
    </row>
    <row r="240" spans="1:10" ht="13.5" thickBot="1" x14ac:dyDescent="0.35">
      <c r="A240" s="91"/>
      <c r="B240" s="74"/>
      <c r="C240" s="74"/>
      <c r="D240" s="74"/>
      <c r="E240" s="74"/>
      <c r="F240" s="74"/>
      <c r="G240" s="74"/>
      <c r="H240" s="710">
        <v>383.14684905961849</v>
      </c>
      <c r="I240" s="710">
        <f>SUM(I238:I239)</f>
        <v>448.30303245466598</v>
      </c>
      <c r="J240" s="105"/>
    </row>
    <row r="241" spans="1:10" ht="13.5" thickTop="1" x14ac:dyDescent="0.3">
      <c r="A241" s="91"/>
      <c r="B241" s="74"/>
      <c r="C241" s="74"/>
      <c r="D241" s="74"/>
      <c r="E241" s="74"/>
      <c r="F241" s="74"/>
      <c r="G241" s="76"/>
      <c r="H241" s="76">
        <v>744.25728059808011</v>
      </c>
      <c r="I241" s="76">
        <f>I240+I235+I231</f>
        <v>841.11665214697371</v>
      </c>
      <c r="J241" s="105"/>
    </row>
    <row r="242" spans="1:10" ht="13.5" thickBot="1" x14ac:dyDescent="0.35">
      <c r="A242" s="91"/>
      <c r="B242" s="104" t="str">
        <f>'Unit tariffs'!$B$7</f>
        <v>Administration Levy (Indirect Cost)</v>
      </c>
      <c r="C242" s="74"/>
      <c r="D242" s="106">
        <f>'Unit tariffs'!$C$7</f>
        <v>0.1</v>
      </c>
      <c r="E242" s="74" t="s">
        <v>311</v>
      </c>
      <c r="F242" s="186">
        <f>+'Unit tariffs'!$F$7</f>
        <v>10000</v>
      </c>
      <c r="G242" s="76"/>
      <c r="H242" s="108">
        <v>74.425728059808009</v>
      </c>
      <c r="I242" s="108">
        <f>IF(I241*$D242&gt;='Unit tariffs'!$E$7,'Unit tariffs'!$E$7,I241*$D242)</f>
        <v>84.111665214697382</v>
      </c>
      <c r="J242" s="105"/>
    </row>
    <row r="243" spans="1:10" ht="13.5" thickTop="1" x14ac:dyDescent="0.3">
      <c r="A243" s="91"/>
      <c r="B243" s="104" t="s">
        <v>44</v>
      </c>
      <c r="C243" s="74"/>
      <c r="D243" s="74"/>
      <c r="E243" s="74"/>
      <c r="F243" s="74"/>
      <c r="G243" s="76"/>
      <c r="H243" s="109">
        <v>818.68300865788808</v>
      </c>
      <c r="I243" s="109">
        <f>SUM(I241:I242)</f>
        <v>925.22831736167109</v>
      </c>
      <c r="J243" s="105"/>
    </row>
    <row r="244" spans="1:10" ht="13" x14ac:dyDescent="0.3">
      <c r="A244" s="91"/>
      <c r="B244" s="104"/>
      <c r="C244" s="74"/>
      <c r="D244" s="74"/>
      <c r="E244" s="74"/>
      <c r="F244" s="74"/>
      <c r="G244" s="76"/>
      <c r="H244" s="76"/>
      <c r="I244" s="76"/>
      <c r="J244" s="105"/>
    </row>
    <row r="245" spans="1:10" ht="13" x14ac:dyDescent="0.3">
      <c r="A245" s="91"/>
      <c r="B245" s="104" t="s">
        <v>45</v>
      </c>
      <c r="C245" s="74"/>
      <c r="D245" s="74"/>
      <c r="E245" s="74"/>
      <c r="F245" s="74"/>
      <c r="G245" s="74"/>
      <c r="H245" s="84">
        <v>820</v>
      </c>
      <c r="I245" s="84">
        <f>ROUND(I243,-1)</f>
        <v>930</v>
      </c>
      <c r="J245" s="110"/>
    </row>
    <row r="246" spans="1:10" ht="13" x14ac:dyDescent="0.3">
      <c r="A246" s="91"/>
      <c r="B246" s="74"/>
      <c r="C246" s="74"/>
      <c r="D246" s="74"/>
      <c r="E246" s="74"/>
      <c r="F246" s="74"/>
      <c r="G246" s="74"/>
      <c r="H246" s="76"/>
      <c r="I246" s="76"/>
      <c r="J246" s="105"/>
    </row>
    <row r="247" spans="1:10" ht="13" x14ac:dyDescent="0.3">
      <c r="A247" s="91"/>
      <c r="B247" s="74"/>
      <c r="C247" s="74"/>
      <c r="D247" s="74"/>
      <c r="E247" s="74"/>
      <c r="F247" s="74"/>
      <c r="G247" s="74"/>
      <c r="H247" s="112">
        <v>0</v>
      </c>
      <c r="I247" s="112">
        <f>(+I245-H245)/H245</f>
        <v>0.13414634146341464</v>
      </c>
      <c r="J247" s="113"/>
    </row>
    <row r="248" spans="1:10" ht="13" x14ac:dyDescent="0.3">
      <c r="A248" s="91"/>
      <c r="B248" s="74"/>
      <c r="C248" s="74"/>
      <c r="D248" s="74"/>
      <c r="E248" s="74"/>
      <c r="F248" s="74"/>
      <c r="G248" s="74"/>
      <c r="H248" s="112"/>
      <c r="I248" s="112"/>
      <c r="J248" s="113"/>
    </row>
    <row r="249" spans="1:10" ht="13.5" thickBot="1" x14ac:dyDescent="0.35">
      <c r="A249" s="448"/>
      <c r="B249" s="123"/>
      <c r="C249" s="123"/>
      <c r="D249" s="123"/>
      <c r="E249" s="123"/>
      <c r="F249" s="123"/>
      <c r="G249" s="123"/>
      <c r="H249" s="123"/>
      <c r="I249" s="123"/>
      <c r="J249" s="449"/>
    </row>
    <row r="250" spans="1:10" ht="14" thickTop="1" thickBot="1" x14ac:dyDescent="0.35">
      <c r="A250" s="91"/>
      <c r="B250" s="74"/>
      <c r="C250" s="74"/>
      <c r="D250" s="74"/>
      <c r="E250" s="74"/>
      <c r="F250" s="74"/>
      <c r="G250" s="74"/>
      <c r="H250" s="452"/>
      <c r="I250" s="452"/>
      <c r="J250" s="453"/>
    </row>
    <row r="251" spans="1:10" ht="13.5" thickTop="1" x14ac:dyDescent="0.3">
      <c r="A251" s="445"/>
      <c r="B251" s="120" t="s">
        <v>1</v>
      </c>
      <c r="C251" s="120"/>
      <c r="D251" s="120"/>
      <c r="E251" s="120"/>
      <c r="F251" s="120"/>
      <c r="G251" s="120"/>
      <c r="H251" s="120"/>
      <c r="I251" s="120"/>
      <c r="J251" s="446"/>
    </row>
    <row r="252" spans="1:10" ht="18" customHeight="1" x14ac:dyDescent="0.3">
      <c r="A252" s="91"/>
      <c r="B252" s="956" t="s">
        <v>464</v>
      </c>
      <c r="C252" s="957"/>
      <c r="D252" s="957"/>
      <c r="E252" s="957"/>
      <c r="F252" s="957"/>
      <c r="G252" s="958"/>
      <c r="H252" s="74"/>
      <c r="I252" s="74"/>
      <c r="J252" s="95"/>
    </row>
    <row r="253" spans="1:10" ht="13" x14ac:dyDescent="0.3">
      <c r="A253" s="91"/>
      <c r="B253" s="74" t="s">
        <v>1</v>
      </c>
      <c r="C253" s="74"/>
      <c r="D253" s="74"/>
      <c r="E253" s="74"/>
      <c r="F253" s="74"/>
      <c r="G253" s="74"/>
      <c r="H253" s="74"/>
      <c r="I253" s="74"/>
      <c r="J253" s="95"/>
    </row>
    <row r="254" spans="1:10" ht="31.5" customHeight="1" x14ac:dyDescent="0.3">
      <c r="A254" s="91"/>
      <c r="B254" s="959" t="s">
        <v>465</v>
      </c>
      <c r="C254" s="960"/>
      <c r="D254" s="960"/>
      <c r="E254" s="960"/>
      <c r="F254" s="960"/>
      <c r="G254" s="961"/>
      <c r="H254" s="74"/>
      <c r="I254" s="74"/>
      <c r="J254" s="95"/>
    </row>
    <row r="255" spans="1:10" ht="13" x14ac:dyDescent="0.3">
      <c r="A255" s="91"/>
      <c r="B255" s="74"/>
      <c r="C255" s="74"/>
      <c r="D255" s="74"/>
      <c r="E255" s="74"/>
      <c r="F255" s="74"/>
      <c r="G255" s="74"/>
      <c r="H255" s="103" t="str">
        <f>+'Unit tariffs'!$F$11</f>
        <v>2026/2027</v>
      </c>
      <c r="I255" s="103" t="str">
        <f>+'Unit tariffs'!$F$11</f>
        <v>2026/2027</v>
      </c>
      <c r="J255" s="444" t="s">
        <v>313</v>
      </c>
    </row>
    <row r="256" spans="1:10" ht="13.5" thickBot="1" x14ac:dyDescent="0.35">
      <c r="A256" s="91"/>
      <c r="B256" s="74"/>
      <c r="C256" s="74"/>
      <c r="D256" s="74"/>
      <c r="E256" s="74"/>
      <c r="F256" s="74"/>
      <c r="G256" s="74"/>
      <c r="H256" s="103"/>
      <c r="I256" s="103"/>
      <c r="J256" s="450"/>
    </row>
    <row r="257" spans="1:11" ht="13.5" thickBot="1" x14ac:dyDescent="0.35">
      <c r="A257" s="91"/>
      <c r="B257" s="74"/>
      <c r="C257" s="74"/>
      <c r="D257" s="74"/>
      <c r="E257" s="74"/>
      <c r="F257" s="74"/>
      <c r="G257" s="74"/>
      <c r="H257" s="102" t="s">
        <v>239</v>
      </c>
      <c r="I257" s="102" t="s">
        <v>239</v>
      </c>
      <c r="J257" s="450"/>
    </row>
    <row r="258" spans="1:11" ht="13" x14ac:dyDescent="0.3">
      <c r="A258" s="91"/>
      <c r="B258" s="104" t="s">
        <v>314</v>
      </c>
      <c r="C258" s="74"/>
      <c r="D258" s="74"/>
      <c r="E258" s="74"/>
      <c r="F258" s="74"/>
      <c r="G258" s="74"/>
      <c r="H258" s="74"/>
      <c r="I258" s="74"/>
      <c r="J258" s="95"/>
    </row>
    <row r="259" spans="1:11" ht="13" x14ac:dyDescent="0.3">
      <c r="A259" s="91"/>
      <c r="B259" s="707">
        <v>3.5</v>
      </c>
      <c r="C259" s="85" t="str">
        <f>'Unit tariffs'!B131</f>
        <v>Primary Backbone - Urban</v>
      </c>
      <c r="D259" s="74"/>
      <c r="E259" s="74"/>
      <c r="F259" s="74"/>
      <c r="G259" s="74"/>
      <c r="H259" s="76">
        <v>4446.4959000000008</v>
      </c>
      <c r="I259" s="76">
        <f>('Unit tariffs'!F131)*B259</f>
        <v>5024.2424517747004</v>
      </c>
      <c r="J259" s="95"/>
    </row>
    <row r="260" spans="1:11" ht="13" x14ac:dyDescent="0.3">
      <c r="A260" s="91"/>
      <c r="B260" s="85">
        <v>3.5</v>
      </c>
      <c r="C260" s="85" t="str">
        <f>'Unit tariffs'!B132</f>
        <v>Secondary Backbone - MV Urban</v>
      </c>
      <c r="D260" s="74"/>
      <c r="E260" s="74"/>
      <c r="F260" s="74"/>
      <c r="G260" s="74"/>
      <c r="H260" s="76">
        <v>3405.9987500000007</v>
      </c>
      <c r="I260" s="76">
        <f>('Unit tariffs'!F132)*B260</f>
        <v>3848.5503855837505</v>
      </c>
      <c r="J260" s="95"/>
    </row>
    <row r="261" spans="1:11" ht="13" x14ac:dyDescent="0.3">
      <c r="A261" s="91"/>
      <c r="B261" s="711">
        <v>3.5</v>
      </c>
      <c r="C261" s="711" t="str">
        <f>'Unit tariffs'!B134</f>
        <v>LV Backbone -Urban</v>
      </c>
      <c r="D261" s="711"/>
      <c r="E261" s="711"/>
      <c r="F261" s="711"/>
      <c r="G261" s="711"/>
      <c r="H261" s="713">
        <v>5422.3669500000015</v>
      </c>
      <c r="I261" s="713">
        <f>('Unit tariffs'!F133+'Unit tariffs'!F134)*B261</f>
        <v>6126.9113549143513</v>
      </c>
      <c r="J261" s="105"/>
    </row>
    <row r="262" spans="1:11" ht="13" x14ac:dyDescent="0.3">
      <c r="A262" s="91"/>
      <c r="B262" s="74"/>
      <c r="C262" s="74"/>
      <c r="D262" s="74"/>
      <c r="E262" s="74"/>
      <c r="F262" s="74"/>
      <c r="G262" s="74"/>
      <c r="H262" s="76">
        <v>13274.861600000004</v>
      </c>
      <c r="I262" s="76">
        <f>SUM(I259:I261)</f>
        <v>14999.704192272802</v>
      </c>
      <c r="J262" s="105"/>
    </row>
    <row r="263" spans="1:11" ht="13" x14ac:dyDescent="0.3">
      <c r="A263" s="91"/>
      <c r="B263" s="74"/>
      <c r="C263" s="74"/>
      <c r="D263" s="74"/>
      <c r="E263" s="74"/>
      <c r="F263" s="74"/>
      <c r="G263" s="74"/>
      <c r="H263" s="76"/>
      <c r="I263" s="76"/>
      <c r="J263" s="105"/>
    </row>
    <row r="264" spans="1:11" ht="13" x14ac:dyDescent="0.3">
      <c r="A264" s="91"/>
      <c r="B264" s="104" t="s">
        <v>41</v>
      </c>
      <c r="C264" s="74"/>
      <c r="D264" s="74"/>
      <c r="E264" s="74"/>
      <c r="F264" s="74"/>
      <c r="G264" s="74"/>
      <c r="H264" s="76"/>
      <c r="I264" s="76"/>
      <c r="J264" s="105"/>
    </row>
    <row r="265" spans="1:11" ht="13" x14ac:dyDescent="0.3">
      <c r="A265" s="91"/>
      <c r="B265" s="74">
        <v>1</v>
      </c>
      <c r="C265" s="74" t="str">
        <f>+'Unit tariffs'!B34</f>
        <v>METER:S/P WIRED PRE-PAID</v>
      </c>
      <c r="D265" s="74"/>
      <c r="E265" s="74"/>
      <c r="F265" s="74"/>
      <c r="G265" s="74"/>
      <c r="H265" s="76">
        <v>2262.7591214051877</v>
      </c>
      <c r="I265" s="76">
        <f>VLOOKUP($C265,'Unit tariffs'!$B$21:$F$123,5,FALSE)*$B265</f>
        <v>2142.3529679999997</v>
      </c>
      <c r="J265" s="457" t="e">
        <f>IF(+I265*'Unit tariffs'!#REF!&gt;'Unit tariffs'!#REF!,'Unit tariffs'!#REF!,+I265*'Unit tariffs'!#REF!)</f>
        <v>#REF!</v>
      </c>
    </row>
    <row r="266" spans="1:11" ht="13" x14ac:dyDescent="0.3">
      <c r="A266" s="91"/>
      <c r="B266" s="74">
        <v>1</v>
      </c>
      <c r="C266" s="74" t="str">
        <f>+'Unit tariffs'!B43</f>
        <v>x 80 A circuit breaker (5kA) - Orange</v>
      </c>
      <c r="D266" s="74"/>
      <c r="E266" s="74"/>
      <c r="F266" s="74"/>
      <c r="G266" s="74"/>
      <c r="H266" s="76">
        <v>195.804552748324</v>
      </c>
      <c r="I266" s="76">
        <f>VLOOKUP($C266,'Unit tariffs'!$B$21:$F$123,5,FALSE)*$B266</f>
        <v>0</v>
      </c>
      <c r="J266" s="457" t="e">
        <f>IF(+I266*'Unit tariffs'!#REF!&gt;'Unit tariffs'!#REF!,'Unit tariffs'!#REF!,+I266*'Unit tariffs'!#REF!)</f>
        <v>#REF!</v>
      </c>
    </row>
    <row r="267" spans="1:11" ht="13" x14ac:dyDescent="0.3">
      <c r="A267" s="91"/>
      <c r="B267" s="74">
        <v>1</v>
      </c>
      <c r="C267" s="74" t="str">
        <f>+'Unit tariffs'!B21</f>
        <v>Installation material</v>
      </c>
      <c r="D267" s="74"/>
      <c r="E267" s="74"/>
      <c r="F267" s="74"/>
      <c r="G267" s="74"/>
      <c r="H267" s="81">
        <v>271.44100000000003</v>
      </c>
      <c r="I267" s="81">
        <f>VLOOKUP($C267,'Unit tariffs'!$B$21:$F$123,5,FALSE)*$B267</f>
        <v>282.48325</v>
      </c>
      <c r="J267" s="457" t="e">
        <f>IF(+I267*'Unit tariffs'!#REF!&gt;'Unit tariffs'!#REF!,'Unit tariffs'!#REF!,+I267*'Unit tariffs'!#REF!)</f>
        <v>#REF!</v>
      </c>
    </row>
    <row r="268" spans="1:11" ht="13" x14ac:dyDescent="0.3">
      <c r="A268" s="91"/>
      <c r="B268" s="74"/>
      <c r="C268" s="74"/>
      <c r="D268" s="74"/>
      <c r="E268" s="74"/>
      <c r="F268" s="74"/>
      <c r="G268" s="74"/>
      <c r="H268" s="76">
        <v>2730.0046741535116</v>
      </c>
      <c r="I268" s="76">
        <f>SUM(I265:I267)</f>
        <v>2424.8362179999995</v>
      </c>
      <c r="J268" s="105"/>
      <c r="K268" s="508"/>
    </row>
    <row r="269" spans="1:11" ht="13" x14ac:dyDescent="0.3">
      <c r="A269" s="91"/>
      <c r="B269" s="104" t="s">
        <v>42</v>
      </c>
      <c r="C269" s="74"/>
      <c r="D269" s="74"/>
      <c r="E269" s="74"/>
      <c r="F269" s="74"/>
      <c r="G269" s="74"/>
      <c r="H269" s="74"/>
      <c r="I269" s="74"/>
      <c r="J269" s="95"/>
    </row>
    <row r="270" spans="1:11" ht="13" x14ac:dyDescent="0.3">
      <c r="A270" s="91"/>
      <c r="B270" s="74"/>
      <c r="C270" s="74"/>
      <c r="D270" s="74"/>
      <c r="E270" s="74"/>
      <c r="F270" s="74"/>
      <c r="G270" s="74"/>
      <c r="H270" s="74"/>
      <c r="I270" s="74"/>
      <c r="J270" s="95"/>
    </row>
    <row r="271" spans="1:11" ht="13" x14ac:dyDescent="0.3">
      <c r="A271" s="91"/>
      <c r="B271" s="74">
        <v>0.8</v>
      </c>
      <c r="C271" s="74" t="str">
        <f>'Unit tariffs'!B$87</f>
        <v xml:space="preserve">hour-artisan </v>
      </c>
      <c r="D271" s="74"/>
      <c r="E271" s="74"/>
      <c r="F271" s="74"/>
      <c r="G271" s="74"/>
      <c r="H271" s="76">
        <v>258.28178538461538</v>
      </c>
      <c r="I271" s="76">
        <f>VLOOKUP($C271,'Unit tariffs'!$B$21:$F$123,5,FALSE)*$B271</f>
        <v>280.95421292307697</v>
      </c>
      <c r="J271" s="105"/>
    </row>
    <row r="272" spans="1:11" ht="13" x14ac:dyDescent="0.3">
      <c r="A272" s="91"/>
      <c r="B272" s="74">
        <v>1.6</v>
      </c>
      <c r="C272" s="74" t="str">
        <f>'Unit tariffs'!B$85</f>
        <v>hour-artisan assistant</v>
      </c>
      <c r="D272" s="74"/>
      <c r="E272" s="74"/>
      <c r="F272" s="74"/>
      <c r="G272" s="74"/>
      <c r="H272" s="81">
        <v>205.65729230769236</v>
      </c>
      <c r="I272" s="81">
        <f>VLOOKUP($C272,'Unit tariffs'!$B$21:$F$123,5,FALSE)*$B272</f>
        <v>223.71881353846157</v>
      </c>
      <c r="J272" s="105"/>
    </row>
    <row r="273" spans="1:11" ht="13" x14ac:dyDescent="0.3">
      <c r="A273" s="91"/>
      <c r="B273" s="74"/>
      <c r="C273" s="74"/>
      <c r="D273" s="74"/>
      <c r="E273" s="74"/>
      <c r="F273" s="74"/>
      <c r="G273" s="74"/>
      <c r="H273" s="76">
        <v>463.93907769230771</v>
      </c>
      <c r="I273" s="76">
        <f>SUM(I271:I272)</f>
        <v>504.67302646153854</v>
      </c>
      <c r="J273" s="105"/>
      <c r="K273" s="508"/>
    </row>
    <row r="274" spans="1:11" ht="13" x14ac:dyDescent="0.3">
      <c r="A274" s="91"/>
      <c r="B274" s="104" t="s">
        <v>43</v>
      </c>
      <c r="C274" s="74"/>
      <c r="D274" s="74"/>
      <c r="E274" s="74"/>
      <c r="F274" s="74"/>
      <c r="G274" s="74"/>
      <c r="H274" s="74"/>
      <c r="I274" s="74"/>
      <c r="J274" s="95"/>
    </row>
    <row r="275" spans="1:11" ht="13" x14ac:dyDescent="0.3">
      <c r="A275" s="91"/>
      <c r="B275" s="74"/>
      <c r="C275" s="74"/>
      <c r="D275" s="74"/>
      <c r="E275" s="74"/>
      <c r="F275" s="74"/>
      <c r="G275" s="74"/>
      <c r="H275" s="74"/>
      <c r="I275" s="74"/>
      <c r="J275" s="95"/>
    </row>
    <row r="276" spans="1:11" ht="13" x14ac:dyDescent="0.3">
      <c r="A276" s="91"/>
      <c r="B276" s="74">
        <v>24</v>
      </c>
      <c r="C276" s="74" t="str">
        <f>'Unit tariffs'!B$111</f>
        <v>km-truck with platform</v>
      </c>
      <c r="D276" s="74"/>
      <c r="E276" s="74"/>
      <c r="F276" s="74"/>
      <c r="G276" s="74"/>
      <c r="H276" s="76">
        <v>1010.8920834182238</v>
      </c>
      <c r="I276" s="76">
        <f>VLOOKUP($C276,'Unit tariffs'!$B$21:$F$123,5,FALSE)*$B276</f>
        <v>1182.7997218118533</v>
      </c>
      <c r="J276" s="105"/>
    </row>
    <row r="277" spans="1:11" ht="13" x14ac:dyDescent="0.3">
      <c r="A277" s="91"/>
      <c r="B277" s="74">
        <v>1</v>
      </c>
      <c r="C277" s="74" t="str">
        <f>'Unit tariffs'!B$112</f>
        <v>hour-truck with platform</v>
      </c>
      <c r="D277" s="74"/>
      <c r="E277" s="74"/>
      <c r="F277" s="74"/>
      <c r="G277" s="74"/>
      <c r="H277" s="81">
        <v>204.98441731167313</v>
      </c>
      <c r="I277" s="81">
        <f>VLOOKUP($C277,'Unit tariffs'!$B$21:$F$123,5,FALSE)*$B277</f>
        <v>239.8431204962792</v>
      </c>
      <c r="J277" s="105"/>
    </row>
    <row r="278" spans="1:11" ht="13.5" thickBot="1" x14ac:dyDescent="0.35">
      <c r="A278" s="91"/>
      <c r="B278" s="74"/>
      <c r="C278" s="74"/>
      <c r="D278" s="74"/>
      <c r="E278" s="74"/>
      <c r="F278" s="74"/>
      <c r="G278" s="74"/>
      <c r="H278" s="710">
        <v>1215.8765007298969</v>
      </c>
      <c r="I278" s="710">
        <f>SUM(I276:I277)</f>
        <v>1422.6428423081325</v>
      </c>
      <c r="J278" s="105"/>
      <c r="K278" s="508"/>
    </row>
    <row r="279" spans="1:11" ht="13.5" thickTop="1" x14ac:dyDescent="0.3">
      <c r="A279" s="91"/>
      <c r="B279" s="74"/>
      <c r="C279" s="74"/>
      <c r="D279" s="74"/>
      <c r="E279" s="74"/>
      <c r="F279" s="74"/>
      <c r="G279" s="74"/>
      <c r="H279" s="189">
        <v>17684.681852575719</v>
      </c>
      <c r="I279" s="189">
        <f>I278+I273+I268+I262</f>
        <v>19351.856279042473</v>
      </c>
      <c r="J279" s="105"/>
      <c r="K279" s="508"/>
    </row>
    <row r="280" spans="1:11" ht="13.5" thickBot="1" x14ac:dyDescent="0.35">
      <c r="A280" s="91"/>
      <c r="B280" s="104" t="str">
        <f>'Unit tariffs'!$B$7</f>
        <v>Administration Levy (Indirect Cost)</v>
      </c>
      <c r="C280" s="74"/>
      <c r="D280" s="106">
        <f>'Unit tariffs'!$C$7</f>
        <v>0.1</v>
      </c>
      <c r="E280" s="74" t="s">
        <v>311</v>
      </c>
      <c r="F280" s="186">
        <f>+'Unit tariffs'!$F$7</f>
        <v>10000</v>
      </c>
      <c r="G280" s="74"/>
      <c r="H280" s="343">
        <v>1768.468185257572</v>
      </c>
      <c r="I280" s="343">
        <f>IF(I279*$D280&gt;='Unit tariffs'!$E$7,'Unit tariffs'!$E$7,I279*$D280)</f>
        <v>1935.1856279042474</v>
      </c>
      <c r="J280" s="105"/>
    </row>
    <row r="281" spans="1:11" ht="13.5" thickTop="1" x14ac:dyDescent="0.3">
      <c r="A281" s="91"/>
      <c r="B281" s="104" t="s">
        <v>44</v>
      </c>
      <c r="C281" s="74"/>
      <c r="D281" s="74"/>
      <c r="E281" s="74"/>
      <c r="F281" s="74"/>
      <c r="G281" s="74"/>
      <c r="H281" s="346">
        <v>19453.150037833289</v>
      </c>
      <c r="I281" s="346">
        <f>SUM(I279:I280)</f>
        <v>21287.041906946721</v>
      </c>
      <c r="J281" s="105"/>
      <c r="K281" s="508"/>
    </row>
    <row r="282" spans="1:11" ht="13" x14ac:dyDescent="0.3">
      <c r="A282" s="91"/>
      <c r="B282" s="74"/>
      <c r="C282" s="74"/>
      <c r="D282" s="74"/>
      <c r="E282" s="74"/>
      <c r="F282" s="74"/>
      <c r="G282" s="74"/>
      <c r="H282" s="74"/>
      <c r="I282" s="74"/>
      <c r="J282" s="95"/>
    </row>
    <row r="283" spans="1:11" ht="13" x14ac:dyDescent="0.3">
      <c r="A283" s="91"/>
      <c r="B283" s="104" t="s">
        <v>45</v>
      </c>
      <c r="C283" s="74"/>
      <c r="D283" s="74"/>
      <c r="E283" s="74"/>
      <c r="F283" s="74"/>
      <c r="G283" s="74"/>
      <c r="H283" s="84">
        <v>19450</v>
      </c>
      <c r="I283" s="84">
        <f>ROUND(I281,-1)</f>
        <v>21290</v>
      </c>
      <c r="J283" s="110"/>
    </row>
    <row r="284" spans="1:11" ht="13" x14ac:dyDescent="0.3">
      <c r="A284" s="91"/>
      <c r="B284" s="74"/>
      <c r="C284" s="74"/>
      <c r="D284" s="74"/>
      <c r="E284" s="74"/>
      <c r="F284" s="74"/>
      <c r="G284" s="74"/>
      <c r="H284" s="76"/>
      <c r="I284" s="76"/>
      <c r="J284" s="105"/>
    </row>
    <row r="285" spans="1:11" ht="13" x14ac:dyDescent="0.3">
      <c r="A285" s="91"/>
      <c r="B285" s="74"/>
      <c r="C285" s="74"/>
      <c r="D285" s="74"/>
      <c r="E285" s="74"/>
      <c r="F285" s="74"/>
      <c r="G285" s="74"/>
      <c r="H285" s="112">
        <v>3.0103092783505154</v>
      </c>
      <c r="I285" s="112">
        <f>(+I283-H283)/H283</f>
        <v>9.4601542416452439E-2</v>
      </c>
      <c r="J285" s="113"/>
    </row>
    <row r="286" spans="1:11" ht="13.5" thickBot="1" x14ac:dyDescent="0.35">
      <c r="A286" s="448"/>
      <c r="B286" s="123"/>
      <c r="C286" s="123"/>
      <c r="D286" s="123"/>
      <c r="E286" s="123"/>
      <c r="F286" s="123"/>
      <c r="G286" s="123"/>
      <c r="H286" s="130"/>
      <c r="I286" s="130"/>
      <c r="J286" s="454"/>
    </row>
    <row r="287" spans="1:11" ht="13.5" thickTop="1" x14ac:dyDescent="0.3">
      <c r="A287" s="91"/>
      <c r="B287" s="74"/>
      <c r="C287" s="74"/>
      <c r="D287" s="74"/>
      <c r="E287" s="74"/>
      <c r="F287" s="74"/>
      <c r="G287" s="74"/>
      <c r="H287" s="132" t="str">
        <f>+'Unit tariffs'!$F$11</f>
        <v>2026/2027</v>
      </c>
      <c r="I287" s="132" t="str">
        <f>+'Unit tariffs'!$F$11</f>
        <v>2026/2027</v>
      </c>
      <c r="J287" s="113"/>
    </row>
    <row r="288" spans="1:11" ht="13.5" thickBot="1" x14ac:dyDescent="0.35">
      <c r="A288" s="448"/>
      <c r="B288" s="123"/>
      <c r="C288" s="123"/>
      <c r="D288" s="123"/>
      <c r="E288" s="123"/>
      <c r="F288" s="123"/>
      <c r="G288" s="123"/>
      <c r="H288" s="123"/>
      <c r="I288" s="123"/>
      <c r="J288" s="449"/>
    </row>
    <row r="289" spans="1:10" ht="13.5" thickTop="1" x14ac:dyDescent="0.3">
      <c r="A289" s="91"/>
      <c r="B289" s="74"/>
      <c r="C289" s="74"/>
      <c r="D289" s="74"/>
      <c r="E289" s="74"/>
      <c r="F289" s="74"/>
      <c r="G289" s="74"/>
      <c r="H289" s="74"/>
      <c r="I289" s="74"/>
      <c r="J289" s="95"/>
    </row>
    <row r="290" spans="1:10" ht="13" x14ac:dyDescent="0.3">
      <c r="A290" s="91"/>
      <c r="B290" s="74"/>
      <c r="C290" s="74"/>
      <c r="D290" s="74"/>
      <c r="E290" s="74"/>
      <c r="F290" s="74"/>
      <c r="G290" s="74"/>
      <c r="H290" s="74"/>
      <c r="I290" s="74"/>
      <c r="J290" s="95"/>
    </row>
    <row r="291" spans="1:10" ht="13" x14ac:dyDescent="0.3">
      <c r="A291" s="91"/>
      <c r="B291" s="937" t="s">
        <v>514</v>
      </c>
      <c r="C291" s="938"/>
      <c r="D291" s="938"/>
      <c r="E291" s="938"/>
      <c r="F291" s="938"/>
      <c r="G291" s="939"/>
      <c r="H291" s="131"/>
      <c r="I291" s="131"/>
      <c r="J291" s="95"/>
    </row>
    <row r="292" spans="1:10" ht="13" x14ac:dyDescent="0.3">
      <c r="A292" s="91"/>
      <c r="B292" s="74"/>
      <c r="C292" s="74"/>
      <c r="D292" s="74"/>
      <c r="E292" s="74"/>
      <c r="F292" s="74"/>
      <c r="G292" s="74"/>
      <c r="H292" s="74"/>
      <c r="I292" s="74"/>
      <c r="J292" s="95"/>
    </row>
    <row r="293" spans="1:10" ht="13" x14ac:dyDescent="0.3">
      <c r="A293" s="91"/>
      <c r="B293" s="74"/>
      <c r="C293" s="74"/>
      <c r="D293" s="74"/>
      <c r="E293" s="74"/>
      <c r="F293" s="74"/>
      <c r="G293" s="74"/>
      <c r="H293" s="74"/>
      <c r="I293" s="74"/>
      <c r="J293" s="95"/>
    </row>
    <row r="294" spans="1:10" ht="13" x14ac:dyDescent="0.3">
      <c r="A294" s="91"/>
      <c r="B294" s="104" t="s">
        <v>41</v>
      </c>
      <c r="C294" s="74"/>
      <c r="D294" s="74"/>
      <c r="E294" s="74"/>
      <c r="F294" s="74"/>
      <c r="G294" s="74"/>
      <c r="H294" s="76"/>
      <c r="I294" s="76"/>
      <c r="J294" s="95"/>
    </row>
    <row r="295" spans="1:10" ht="13" x14ac:dyDescent="0.3">
      <c r="A295" s="91"/>
      <c r="B295" s="74">
        <v>1</v>
      </c>
      <c r="C295" s="74" t="str">
        <f>+'Unit tariffs'!B34</f>
        <v>METER:S/P WIRED PRE-PAID</v>
      </c>
      <c r="D295" s="74"/>
      <c r="E295" s="74"/>
      <c r="F295" s="74"/>
      <c r="G295" s="74"/>
      <c r="H295" s="76">
        <v>2262.7591214051877</v>
      </c>
      <c r="I295" s="76">
        <f>VLOOKUP($C295,'Unit tariffs'!$B$21:$F$123,5,FALSE)*$B295</f>
        <v>2142.3529679999997</v>
      </c>
      <c r="J295" s="95"/>
    </row>
    <row r="296" spans="1:10" ht="13" x14ac:dyDescent="0.3">
      <c r="A296" s="91"/>
      <c r="B296" s="74">
        <v>1</v>
      </c>
      <c r="C296" s="74" t="str">
        <f>+'Unit tariffs'!B43</f>
        <v>x 80 A circuit breaker (5kA) - Orange</v>
      </c>
      <c r="D296" s="74"/>
      <c r="E296" s="74"/>
      <c r="F296" s="74"/>
      <c r="G296" s="74"/>
      <c r="H296" s="76">
        <v>195.804552748324</v>
      </c>
      <c r="I296" s="76">
        <f>VLOOKUP($C296,'Unit tariffs'!$B$21:$F$123,5,FALSE)*$B296</f>
        <v>0</v>
      </c>
      <c r="J296" s="95"/>
    </row>
    <row r="297" spans="1:10" ht="13" x14ac:dyDescent="0.3">
      <c r="A297" s="91"/>
      <c r="B297" s="74">
        <v>1</v>
      </c>
      <c r="C297" s="74" t="str">
        <f>+'Unit tariffs'!B21</f>
        <v>Installation material</v>
      </c>
      <c r="D297" s="74"/>
      <c r="E297" s="74"/>
      <c r="F297" s="74"/>
      <c r="G297" s="74"/>
      <c r="H297" s="81">
        <v>271.44100000000003</v>
      </c>
      <c r="I297" s="81">
        <f>VLOOKUP($C297,'Unit tariffs'!$B$21:$F$123,5,FALSE)*$B297</f>
        <v>282.48325</v>
      </c>
      <c r="J297" s="95"/>
    </row>
    <row r="298" spans="1:10" ht="13" x14ac:dyDescent="0.3">
      <c r="A298" s="91"/>
      <c r="B298" s="74"/>
      <c r="C298" s="74"/>
      <c r="D298" s="74"/>
      <c r="E298" s="74"/>
      <c r="F298" s="74"/>
      <c r="G298" s="74"/>
      <c r="H298" s="76">
        <v>2730.0046741535116</v>
      </c>
      <c r="I298" s="76">
        <f>SUM(I295:I297)</f>
        <v>2424.8362179999995</v>
      </c>
      <c r="J298" s="95"/>
    </row>
    <row r="299" spans="1:10" ht="13" x14ac:dyDescent="0.3">
      <c r="A299" s="91"/>
      <c r="B299" s="104" t="s">
        <v>42</v>
      </c>
      <c r="C299" s="74"/>
      <c r="D299" s="74"/>
      <c r="E299" s="74"/>
      <c r="F299" s="74"/>
      <c r="G299" s="74"/>
      <c r="H299" s="74"/>
      <c r="I299" s="74"/>
      <c r="J299" s="95"/>
    </row>
    <row r="300" spans="1:10" ht="13" x14ac:dyDescent="0.3">
      <c r="A300" s="91"/>
      <c r="B300" s="74"/>
      <c r="C300" s="74"/>
      <c r="D300" s="74"/>
      <c r="E300" s="74"/>
      <c r="F300" s="74"/>
      <c r="G300" s="74"/>
      <c r="H300" s="74"/>
      <c r="I300" s="74"/>
      <c r="J300" s="95"/>
    </row>
    <row r="301" spans="1:10" ht="13" x14ac:dyDescent="0.3">
      <c r="A301" s="91"/>
      <c r="B301" s="74">
        <v>0.8</v>
      </c>
      <c r="C301" s="74" t="str">
        <f>'Unit tariffs'!B$87</f>
        <v xml:space="preserve">hour-artisan </v>
      </c>
      <c r="D301" s="74"/>
      <c r="E301" s="74"/>
      <c r="F301" s="74"/>
      <c r="G301" s="74"/>
      <c r="H301" s="76">
        <v>258.28178538461538</v>
      </c>
      <c r="I301" s="76">
        <f>VLOOKUP($C301,'Unit tariffs'!$B$21:$F$123,5,FALSE)*$B301</f>
        <v>280.95421292307697</v>
      </c>
      <c r="J301" s="95"/>
    </row>
    <row r="302" spans="1:10" ht="13" x14ac:dyDescent="0.3">
      <c r="A302" s="91"/>
      <c r="B302" s="74">
        <v>1.6</v>
      </c>
      <c r="C302" s="74" t="str">
        <f>'Unit tariffs'!B$85</f>
        <v>hour-artisan assistant</v>
      </c>
      <c r="D302" s="74"/>
      <c r="E302" s="74"/>
      <c r="F302" s="74"/>
      <c r="G302" s="74"/>
      <c r="H302" s="81">
        <v>205.65729230769236</v>
      </c>
      <c r="I302" s="81">
        <f>VLOOKUP($C302,'Unit tariffs'!$B$21:$F$123,5,FALSE)*$B302</f>
        <v>223.71881353846157</v>
      </c>
      <c r="J302" s="95"/>
    </row>
    <row r="303" spans="1:10" ht="13" x14ac:dyDescent="0.3">
      <c r="A303" s="91"/>
      <c r="B303" s="74"/>
      <c r="C303" s="74"/>
      <c r="D303" s="74"/>
      <c r="E303" s="74"/>
      <c r="F303" s="74"/>
      <c r="G303" s="74"/>
      <c r="H303" s="76">
        <v>463.93907769230771</v>
      </c>
      <c r="I303" s="76">
        <f>SUM(I301:I302)</f>
        <v>504.67302646153854</v>
      </c>
      <c r="J303" s="95"/>
    </row>
    <row r="304" spans="1:10" ht="13" x14ac:dyDescent="0.3">
      <c r="A304" s="91"/>
      <c r="B304" s="104" t="s">
        <v>43</v>
      </c>
      <c r="C304" s="74"/>
      <c r="D304" s="74"/>
      <c r="E304" s="74"/>
      <c r="F304" s="74"/>
      <c r="G304" s="74"/>
      <c r="H304" s="74"/>
      <c r="I304" s="74"/>
      <c r="J304" s="95"/>
    </row>
    <row r="305" spans="1:10" ht="13" x14ac:dyDescent="0.3">
      <c r="A305" s="91"/>
      <c r="B305" s="74"/>
      <c r="C305" s="74"/>
      <c r="D305" s="74"/>
      <c r="E305" s="74"/>
      <c r="F305" s="74"/>
      <c r="G305" s="74"/>
      <c r="H305" s="74"/>
      <c r="I305" s="74"/>
      <c r="J305" s="95"/>
    </row>
    <row r="306" spans="1:10" ht="13" x14ac:dyDescent="0.3">
      <c r="A306" s="91"/>
      <c r="B306" s="74">
        <v>24</v>
      </c>
      <c r="C306" s="74" t="str">
        <f>'Unit tariffs'!B$111</f>
        <v>km-truck with platform</v>
      </c>
      <c r="D306" s="74"/>
      <c r="E306" s="74"/>
      <c r="F306" s="74"/>
      <c r="G306" s="74"/>
      <c r="H306" s="76">
        <v>1010.8920834182238</v>
      </c>
      <c r="I306" s="76">
        <f>VLOOKUP($C306,'Unit tariffs'!$B$21:$F$123,5,FALSE)*$B306</f>
        <v>1182.7997218118533</v>
      </c>
      <c r="J306" s="95"/>
    </row>
    <row r="307" spans="1:10" ht="13" x14ac:dyDescent="0.3">
      <c r="A307" s="91"/>
      <c r="B307" s="74">
        <v>1</v>
      </c>
      <c r="C307" s="74" t="str">
        <f>'Unit tariffs'!B$112</f>
        <v>hour-truck with platform</v>
      </c>
      <c r="D307" s="74"/>
      <c r="E307" s="74"/>
      <c r="F307" s="74"/>
      <c r="G307" s="74"/>
      <c r="H307" s="81">
        <v>204.98441731167313</v>
      </c>
      <c r="I307" s="81">
        <f>VLOOKUP($C307,'Unit tariffs'!$B$21:$F$123,5,FALSE)*$B307</f>
        <v>239.8431204962792</v>
      </c>
      <c r="J307" s="95"/>
    </row>
    <row r="308" spans="1:10" ht="13.5" thickBot="1" x14ac:dyDescent="0.35">
      <c r="A308" s="91"/>
      <c r="B308" s="74"/>
      <c r="C308" s="74"/>
      <c r="D308" s="74"/>
      <c r="E308" s="74"/>
      <c r="F308" s="74"/>
      <c r="G308" s="74"/>
      <c r="H308" s="710">
        <v>1215.8765007298969</v>
      </c>
      <c r="I308" s="710">
        <f>SUM(I306:I307)</f>
        <v>1422.6428423081325</v>
      </c>
      <c r="J308" s="95"/>
    </row>
    <row r="309" spans="1:10" ht="13.5" thickTop="1" x14ac:dyDescent="0.3">
      <c r="A309" s="91"/>
      <c r="B309" s="74"/>
      <c r="C309" s="74"/>
      <c r="D309" s="74"/>
      <c r="E309" s="74"/>
      <c r="F309" s="74"/>
      <c r="G309" s="74"/>
      <c r="H309" s="189">
        <f>H298+H303+H308</f>
        <v>4409.820252575716</v>
      </c>
      <c r="I309" s="189">
        <f>I298+I303+I308</f>
        <v>4352.1520867696709</v>
      </c>
      <c r="J309" s="95"/>
    </row>
    <row r="310" spans="1:10" ht="13.5" thickBot="1" x14ac:dyDescent="0.35">
      <c r="A310" s="91"/>
      <c r="B310" s="104" t="str">
        <f>'Unit tariffs'!$B$7</f>
        <v>Administration Levy (Indirect Cost)</v>
      </c>
      <c r="C310" s="74"/>
      <c r="D310" s="106">
        <f>'Unit tariffs'!$C$7</f>
        <v>0.1</v>
      </c>
      <c r="E310" s="74" t="s">
        <v>311</v>
      </c>
      <c r="F310" s="186">
        <f>+'Unit tariffs'!$F$7</f>
        <v>10000</v>
      </c>
      <c r="G310" s="74"/>
      <c r="H310" s="343">
        <v>1768.468185257572</v>
      </c>
      <c r="I310" s="343">
        <f>IF(I309*$D310&gt;='Unit tariffs'!$E$7,'Unit tariffs'!$E$7,I309*$D310)</f>
        <v>435.21520867696711</v>
      </c>
      <c r="J310" s="95"/>
    </row>
    <row r="311" spans="1:10" ht="13.5" thickTop="1" x14ac:dyDescent="0.3">
      <c r="A311" s="91"/>
      <c r="B311" s="104" t="s">
        <v>44</v>
      </c>
      <c r="C311" s="74"/>
      <c r="D311" s="74"/>
      <c r="E311" s="74"/>
      <c r="F311" s="74"/>
      <c r="G311" s="74"/>
      <c r="H311" s="346">
        <f>H309+H310</f>
        <v>6178.2884378332883</v>
      </c>
      <c r="I311" s="346">
        <f>SUM(I309:I310)</f>
        <v>4787.3672954466383</v>
      </c>
      <c r="J311" s="95"/>
    </row>
    <row r="312" spans="1:10" ht="13" x14ac:dyDescent="0.3">
      <c r="A312" s="91"/>
      <c r="B312" s="74"/>
      <c r="C312" s="74"/>
      <c r="D312" s="74"/>
      <c r="E312" s="74"/>
      <c r="F312" s="74"/>
      <c r="G312" s="74"/>
      <c r="H312" s="74"/>
      <c r="I312" s="74"/>
      <c r="J312" s="95"/>
    </row>
    <row r="313" spans="1:10" ht="13" x14ac:dyDescent="0.3">
      <c r="A313" s="91"/>
      <c r="B313" s="104" t="s">
        <v>45</v>
      </c>
      <c r="C313" s="74"/>
      <c r="D313" s="74"/>
      <c r="E313" s="74"/>
      <c r="F313" s="74"/>
      <c r="G313" s="74"/>
      <c r="H313" s="84">
        <v>6178</v>
      </c>
      <c r="I313" s="84">
        <f>ROUND(I311,-1)</f>
        <v>4790</v>
      </c>
      <c r="J313" s="95"/>
    </row>
    <row r="314" spans="1:10" ht="13" x14ac:dyDescent="0.3">
      <c r="A314" s="91"/>
      <c r="B314" s="74"/>
      <c r="C314" s="74"/>
      <c r="D314" s="74"/>
      <c r="E314" s="74"/>
      <c r="F314" s="74"/>
      <c r="G314" s="74"/>
      <c r="H314" s="76"/>
      <c r="I314" s="76"/>
      <c r="J314" s="95"/>
    </row>
    <row r="315" spans="1:10" ht="13" x14ac:dyDescent="0.3">
      <c r="A315" s="91"/>
      <c r="B315" s="74"/>
      <c r="C315" s="74"/>
      <c r="D315" s="74"/>
      <c r="E315" s="74"/>
      <c r="F315" s="74"/>
      <c r="G315" s="74"/>
      <c r="H315" s="112">
        <v>3.0103092783505199</v>
      </c>
      <c r="I315" s="112">
        <f>(+I313-H313)/H313</f>
        <v>-0.22466817740369052</v>
      </c>
      <c r="J315" s="95"/>
    </row>
    <row r="316" spans="1:10" ht="13.5" thickBot="1" x14ac:dyDescent="0.35">
      <c r="A316" s="448"/>
      <c r="B316" s="123"/>
      <c r="C316" s="123"/>
      <c r="D316" s="123"/>
      <c r="E316" s="123"/>
      <c r="F316" s="123"/>
      <c r="G316" s="123"/>
      <c r="H316" s="130"/>
      <c r="I316" s="130"/>
      <c r="J316" s="95"/>
    </row>
    <row r="317" spans="1:10" ht="13.5" thickTop="1" x14ac:dyDescent="0.3">
      <c r="A317" s="91"/>
      <c r="B317" s="74"/>
      <c r="C317" s="74"/>
      <c r="D317" s="74"/>
      <c r="E317" s="74"/>
      <c r="F317" s="74"/>
      <c r="G317" s="74"/>
      <c r="H317" s="112"/>
      <c r="I317" s="112"/>
      <c r="J317" s="95"/>
    </row>
    <row r="318" spans="1:10" ht="26.4" customHeight="1" x14ac:dyDescent="0.3">
      <c r="A318" s="91"/>
      <c r="B318" s="931" t="s">
        <v>636</v>
      </c>
      <c r="C318" s="932"/>
      <c r="D318" s="932"/>
      <c r="E318" s="932"/>
      <c r="F318" s="932"/>
      <c r="G318" s="933"/>
      <c r="H318" s="74"/>
      <c r="I318" s="74"/>
      <c r="J318" s="95"/>
    </row>
    <row r="319" spans="1:10" ht="13.5" thickBot="1" x14ac:dyDescent="0.35">
      <c r="A319" s="91"/>
      <c r="B319" s="74" t="s">
        <v>1</v>
      </c>
      <c r="C319" s="74"/>
      <c r="D319" s="74"/>
      <c r="E319" s="74"/>
      <c r="F319" s="74"/>
      <c r="G319" s="74"/>
      <c r="H319" s="74"/>
      <c r="I319" s="74"/>
      <c r="J319" s="95"/>
    </row>
    <row r="320" spans="1:10" ht="13.5" thickBot="1" x14ac:dyDescent="0.35">
      <c r="A320" s="91"/>
      <c r="B320" s="74"/>
      <c r="C320" s="74"/>
      <c r="D320" s="74"/>
      <c r="E320" s="74"/>
      <c r="F320" s="74"/>
      <c r="G320" s="74"/>
      <c r="H320" s="102" t="s">
        <v>239</v>
      </c>
      <c r="I320" s="102" t="s">
        <v>239</v>
      </c>
      <c r="J320" s="95"/>
    </row>
    <row r="321" spans="1:10" ht="13" x14ac:dyDescent="0.3">
      <c r="A321" s="91"/>
      <c r="B321" s="74" t="s">
        <v>1</v>
      </c>
      <c r="C321" s="74"/>
      <c r="D321" s="74"/>
      <c r="E321" s="74"/>
      <c r="F321" s="74"/>
      <c r="G321" s="74"/>
      <c r="H321" s="74"/>
      <c r="I321" s="74"/>
      <c r="J321" s="95"/>
    </row>
    <row r="322" spans="1:10" ht="13" x14ac:dyDescent="0.3">
      <c r="A322" s="91"/>
      <c r="B322" s="74"/>
      <c r="C322" s="74"/>
      <c r="D322" s="74"/>
      <c r="E322" s="74"/>
      <c r="F322" s="74"/>
      <c r="G322" s="74"/>
      <c r="H322" s="103" t="str">
        <f>+'Unit tariffs'!$F$11</f>
        <v>2026/2027</v>
      </c>
      <c r="I322" s="103" t="str">
        <f>+'Unit tariffs'!$F$11</f>
        <v>2026/2027</v>
      </c>
      <c r="J322" s="444" t="s">
        <v>313</v>
      </c>
    </row>
    <row r="323" spans="1:10" ht="13" x14ac:dyDescent="0.3">
      <c r="A323" s="91"/>
      <c r="B323" s="104" t="s">
        <v>41</v>
      </c>
      <c r="C323" s="74"/>
      <c r="D323" s="74"/>
      <c r="E323" s="74"/>
      <c r="F323" s="74"/>
      <c r="G323" s="74"/>
      <c r="H323" s="74"/>
      <c r="I323" s="74"/>
      <c r="J323" s="95"/>
    </row>
    <row r="324" spans="1:10" ht="13" x14ac:dyDescent="0.3">
      <c r="A324" s="91"/>
      <c r="B324" s="74"/>
      <c r="C324" s="74"/>
      <c r="D324" s="74"/>
      <c r="E324" s="74"/>
      <c r="F324" s="74"/>
      <c r="G324" s="74"/>
      <c r="H324" s="74"/>
      <c r="I324" s="74"/>
      <c r="J324" s="95"/>
    </row>
    <row r="325" spans="1:10" ht="13" x14ac:dyDescent="0.3">
      <c r="A325" s="91"/>
      <c r="B325" s="74">
        <v>1</v>
      </c>
      <c r="C325" s="85" t="str">
        <f>+'Unit tariffs'!B32</f>
        <v>TOU kWh meter - 80- 120Amp 220/240V</v>
      </c>
      <c r="D325" s="74"/>
      <c r="E325" s="74"/>
      <c r="F325" s="74"/>
      <c r="G325" s="74"/>
      <c r="H325" s="555">
        <v>5538.1406043608804</v>
      </c>
      <c r="I325" s="555">
        <f>VLOOKUP($C325,'Unit tariffs'!$B$21:$F$123,5,FALSE)*$B325</f>
        <v>5401.0797399999992</v>
      </c>
      <c r="J325" s="457" t="e">
        <f>IF(+I325*'Unit tariffs'!#REF!&gt;'Unit tariffs'!#REF!,'Unit tariffs'!#REF!,+I325*'Unit tariffs'!#REF!)</f>
        <v>#REF!</v>
      </c>
    </row>
    <row r="326" spans="1:10" ht="13" x14ac:dyDescent="0.3">
      <c r="A326" s="91"/>
      <c r="B326" s="74">
        <v>1</v>
      </c>
      <c r="C326" s="74" t="str">
        <f>'Unit tariffs'!B43</f>
        <v>x 80 A circuit breaker (5kA) - Orange</v>
      </c>
      <c r="D326" s="74"/>
      <c r="E326" s="74"/>
      <c r="F326" s="74"/>
      <c r="G326" s="74"/>
      <c r="H326" s="76">
        <v>195.804552748324</v>
      </c>
      <c r="I326" s="76">
        <f>VLOOKUP($C326,'Unit tariffs'!$B$21:$F$123,5,FALSE)*$B326</f>
        <v>0</v>
      </c>
      <c r="J326" s="457" t="e">
        <f>IF(+I326*'Unit tariffs'!#REF!&gt;'Unit tariffs'!#REF!,'Unit tariffs'!#REF!,+I326*'Unit tariffs'!#REF!)</f>
        <v>#REF!</v>
      </c>
    </row>
    <row r="327" spans="1:10" ht="13" x14ac:dyDescent="0.3">
      <c r="A327" s="91"/>
      <c r="B327" s="74">
        <v>1</v>
      </c>
      <c r="C327" s="74" t="s">
        <v>17</v>
      </c>
      <c r="D327" s="74"/>
      <c r="E327" s="74"/>
      <c r="F327" s="74"/>
      <c r="G327" s="74"/>
      <c r="H327" s="81">
        <v>271.44100000000003</v>
      </c>
      <c r="I327" s="81">
        <f>VLOOKUP($C327,'Unit tariffs'!$B$21:$F$123,5,FALSE)*$B327</f>
        <v>282.48325</v>
      </c>
      <c r="J327" s="457" t="e">
        <f>IF(+I327*'Unit tariffs'!#REF!&gt;'Unit tariffs'!#REF!,'Unit tariffs'!#REF!,+I327*'Unit tariffs'!#REF!)</f>
        <v>#REF!</v>
      </c>
    </row>
    <row r="328" spans="1:10" ht="13" x14ac:dyDescent="0.3">
      <c r="A328" s="91"/>
      <c r="B328" s="74"/>
      <c r="C328" s="74"/>
      <c r="D328" s="74"/>
      <c r="E328" s="74"/>
      <c r="F328" s="74"/>
      <c r="G328" s="74"/>
      <c r="H328" s="76">
        <v>6005.3861571092039</v>
      </c>
      <c r="I328" s="76">
        <f>SUM(I325:I327)</f>
        <v>5683.5629899999994</v>
      </c>
      <c r="J328" s="105"/>
    </row>
    <row r="329" spans="1:10" ht="13" x14ac:dyDescent="0.3">
      <c r="A329" s="91"/>
      <c r="B329" s="104"/>
      <c r="C329" s="74"/>
      <c r="D329" s="106"/>
      <c r="E329" s="74"/>
      <c r="F329" s="186"/>
      <c r="G329" s="74"/>
      <c r="H329" s="188"/>
      <c r="I329" s="188"/>
      <c r="J329" s="105"/>
    </row>
    <row r="330" spans="1:10" ht="13" x14ac:dyDescent="0.3">
      <c r="A330" s="91"/>
      <c r="B330" s="74"/>
      <c r="C330" s="74"/>
      <c r="D330" s="74"/>
      <c r="E330" s="74"/>
      <c r="F330" s="74"/>
      <c r="G330" s="76"/>
      <c r="H330" s="76"/>
      <c r="I330" s="76"/>
      <c r="J330" s="105"/>
    </row>
    <row r="331" spans="1:10" ht="13" x14ac:dyDescent="0.3">
      <c r="A331" s="91"/>
      <c r="B331" s="104" t="s">
        <v>42</v>
      </c>
      <c r="C331" s="74"/>
      <c r="D331" s="74"/>
      <c r="E331" s="74"/>
      <c r="F331" s="74"/>
      <c r="G331" s="74"/>
      <c r="H331" s="74"/>
      <c r="I331" s="74"/>
      <c r="J331" s="95"/>
    </row>
    <row r="332" spans="1:10" ht="13" x14ac:dyDescent="0.3">
      <c r="A332" s="91"/>
      <c r="B332" s="74"/>
      <c r="C332" s="74"/>
      <c r="D332" s="74"/>
      <c r="E332" s="74"/>
      <c r="F332" s="74"/>
      <c r="G332" s="74"/>
      <c r="H332" s="74"/>
      <c r="I332" s="74"/>
      <c r="J332" s="95"/>
    </row>
    <row r="333" spans="1:10" ht="13" x14ac:dyDescent="0.3">
      <c r="A333" s="91"/>
      <c r="B333" s="74">
        <v>1</v>
      </c>
      <c r="C333" s="74" t="str">
        <f>'Unit tariffs'!B$87</f>
        <v xml:space="preserve">hour-artisan </v>
      </c>
      <c r="D333" s="74"/>
      <c r="E333" s="74"/>
      <c r="F333" s="74"/>
      <c r="G333" s="74"/>
      <c r="H333" s="76">
        <v>322.85223173076923</v>
      </c>
      <c r="I333" s="76">
        <f>VLOOKUP($C333,'Unit tariffs'!$B$21:$F$123,5,FALSE)*$B333</f>
        <v>351.19276615384621</v>
      </c>
      <c r="J333" s="105"/>
    </row>
    <row r="334" spans="1:10" ht="13" x14ac:dyDescent="0.3">
      <c r="A334" s="91"/>
      <c r="B334" s="74">
        <v>2</v>
      </c>
      <c r="C334" s="74" t="str">
        <f>'Unit tariffs'!B$85</f>
        <v>hour-artisan assistant</v>
      </c>
      <c r="D334" s="74"/>
      <c r="E334" s="74"/>
      <c r="F334" s="74"/>
      <c r="G334" s="74"/>
      <c r="H334" s="81">
        <v>257.07161538461543</v>
      </c>
      <c r="I334" s="81">
        <f>VLOOKUP($C334,'Unit tariffs'!$B$21:$F$123,5,FALSE)*$B334</f>
        <v>279.64851692307695</v>
      </c>
      <c r="J334" s="105"/>
    </row>
    <row r="335" spans="1:10" ht="13" x14ac:dyDescent="0.3">
      <c r="A335" s="91"/>
      <c r="B335" s="74"/>
      <c r="C335" s="74"/>
      <c r="D335" s="74"/>
      <c r="E335" s="74"/>
      <c r="F335" s="74"/>
      <c r="G335" s="74"/>
      <c r="H335" s="76">
        <v>579.92384711538466</v>
      </c>
      <c r="I335" s="76">
        <f>SUM(I333:I334)</f>
        <v>630.84128307692322</v>
      </c>
      <c r="J335" s="105"/>
    </row>
    <row r="336" spans="1:10" ht="13" x14ac:dyDescent="0.3">
      <c r="A336" s="91"/>
      <c r="B336" s="104" t="s">
        <v>43</v>
      </c>
      <c r="C336" s="74"/>
      <c r="D336" s="74"/>
      <c r="E336" s="74"/>
      <c r="F336" s="74"/>
      <c r="G336" s="74"/>
      <c r="H336" s="74"/>
      <c r="I336" s="74"/>
      <c r="J336" s="95"/>
    </row>
    <row r="337" spans="1:10" ht="13" x14ac:dyDescent="0.3">
      <c r="A337" s="91"/>
      <c r="B337" s="74"/>
      <c r="C337" s="74"/>
      <c r="D337" s="74"/>
      <c r="E337" s="74"/>
      <c r="F337" s="74"/>
      <c r="G337" s="74"/>
      <c r="H337" s="74"/>
      <c r="I337" s="74"/>
      <c r="J337" s="95"/>
    </row>
    <row r="338" spans="1:10" ht="13" x14ac:dyDescent="0.3">
      <c r="A338" s="91"/>
      <c r="B338" s="74">
        <v>24</v>
      </c>
      <c r="C338" s="74" t="str">
        <f>'Unit tariffs'!B$111</f>
        <v>km-truck with platform</v>
      </c>
      <c r="D338" s="74"/>
      <c r="E338" s="74"/>
      <c r="F338" s="74"/>
      <c r="G338" s="74"/>
      <c r="H338" s="76">
        <v>1010.8920834182238</v>
      </c>
      <c r="I338" s="76">
        <f>VLOOKUP($C338,'Unit tariffs'!$B$21:$F$123,5,FALSE)*$B338</f>
        <v>1182.7997218118533</v>
      </c>
      <c r="J338" s="105"/>
    </row>
    <row r="339" spans="1:10" ht="13" x14ac:dyDescent="0.3">
      <c r="A339" s="91"/>
      <c r="B339" s="74">
        <v>1</v>
      </c>
      <c r="C339" s="74" t="str">
        <f>'Unit tariffs'!B$112</f>
        <v>hour-truck with platform</v>
      </c>
      <c r="D339" s="74"/>
      <c r="E339" s="74"/>
      <c r="F339" s="74"/>
      <c r="G339" s="74"/>
      <c r="H339" s="76">
        <v>204.98441731167313</v>
      </c>
      <c r="I339" s="76">
        <f>VLOOKUP($C339,'Unit tariffs'!$B$21:$F$123,5,FALSE)*$B339</f>
        <v>239.8431204962792</v>
      </c>
      <c r="J339" s="105"/>
    </row>
    <row r="340" spans="1:10" ht="13.5" thickBot="1" x14ac:dyDescent="0.35">
      <c r="A340" s="91"/>
      <c r="B340" s="74"/>
      <c r="C340" s="74"/>
      <c r="D340" s="74"/>
      <c r="E340" s="74"/>
      <c r="F340" s="74"/>
      <c r="G340" s="74"/>
      <c r="H340" s="107">
        <v>1215.8765007298969</v>
      </c>
      <c r="I340" s="107">
        <f>SUM(I338:I339)</f>
        <v>1422.6428423081325</v>
      </c>
      <c r="J340" s="105"/>
    </row>
    <row r="341" spans="1:10" ht="13.5" thickTop="1" x14ac:dyDescent="0.3">
      <c r="A341" s="91"/>
      <c r="B341" s="74"/>
      <c r="C341" s="74"/>
      <c r="D341" s="74"/>
      <c r="E341" s="74"/>
      <c r="F341" s="74"/>
      <c r="G341" s="76"/>
      <c r="H341" s="76">
        <v>7801.1865049544849</v>
      </c>
      <c r="I341" s="76">
        <f>I340+I335+I328</f>
        <v>7737.0471153850549</v>
      </c>
      <c r="J341" s="105"/>
    </row>
    <row r="342" spans="1:10" ht="13.5" thickBot="1" x14ac:dyDescent="0.35">
      <c r="A342" s="91"/>
      <c r="B342" s="104" t="str">
        <f>'Unit tariffs'!$B$7</f>
        <v>Administration Levy (Indirect Cost)</v>
      </c>
      <c r="C342" s="74"/>
      <c r="D342" s="106">
        <f>'Unit tariffs'!$C$7</f>
        <v>0.1</v>
      </c>
      <c r="E342" s="74" t="s">
        <v>311</v>
      </c>
      <c r="F342" s="186">
        <f>+'Unit tariffs'!$F$7</f>
        <v>10000</v>
      </c>
      <c r="G342" s="76"/>
      <c r="H342" s="108">
        <v>780.11865049544849</v>
      </c>
      <c r="I342" s="108">
        <f>IF(I341*$D342&gt;='Unit tariffs'!$E$7,'Unit tariffs'!$E$7,I341*$D342)</f>
        <v>773.70471153850553</v>
      </c>
      <c r="J342" s="105"/>
    </row>
    <row r="343" spans="1:10" ht="13.5" thickTop="1" x14ac:dyDescent="0.3">
      <c r="A343" s="91"/>
      <c r="B343" s="104" t="s">
        <v>44</v>
      </c>
      <c r="C343" s="74"/>
      <c r="D343" s="74"/>
      <c r="E343" s="74"/>
      <c r="F343" s="74"/>
      <c r="G343" s="76"/>
      <c r="H343" s="109">
        <v>8581.3051554499325</v>
      </c>
      <c r="I343" s="109">
        <f>SUM(I341:I342)</f>
        <v>8510.7518269235607</v>
      </c>
      <c r="J343" s="105"/>
    </row>
    <row r="344" spans="1:10" ht="13" x14ac:dyDescent="0.3">
      <c r="A344" s="91"/>
      <c r="B344" s="104"/>
      <c r="C344" s="74"/>
      <c r="D344" s="74"/>
      <c r="E344" s="74"/>
      <c r="F344" s="74"/>
      <c r="G344" s="76"/>
      <c r="H344" s="76"/>
      <c r="I344" s="76"/>
      <c r="J344" s="105"/>
    </row>
    <row r="345" spans="1:10" ht="13" x14ac:dyDescent="0.3">
      <c r="A345" s="91"/>
      <c r="B345" s="104" t="s">
        <v>45</v>
      </c>
      <c r="C345" s="74"/>
      <c r="D345" s="74"/>
      <c r="E345" s="74"/>
      <c r="F345" s="74"/>
      <c r="G345" s="74"/>
      <c r="H345" s="84">
        <v>8580</v>
      </c>
      <c r="I345" s="84">
        <f>ROUND(I343,-1)</f>
        <v>8510</v>
      </c>
      <c r="J345" s="110"/>
    </row>
    <row r="346" spans="1:10" ht="13" x14ac:dyDescent="0.3">
      <c r="A346" s="91"/>
      <c r="B346" s="74"/>
      <c r="C346" s="74"/>
      <c r="D346" s="74"/>
      <c r="E346" s="74"/>
      <c r="F346" s="74"/>
      <c r="G346" s="74"/>
      <c r="H346" s="76"/>
      <c r="I346" s="76"/>
      <c r="J346" s="105"/>
    </row>
    <row r="347" spans="1:10" ht="13" x14ac:dyDescent="0.3">
      <c r="A347" s="91"/>
      <c r="B347" s="74"/>
      <c r="C347" s="74"/>
      <c r="D347" s="74"/>
      <c r="E347" s="74"/>
      <c r="F347" s="74"/>
      <c r="G347" s="74"/>
      <c r="H347" s="112">
        <v>0</v>
      </c>
      <c r="I347" s="112">
        <f>(+I345-H345)/H345</f>
        <v>-8.1585081585081581E-3</v>
      </c>
      <c r="J347" s="113"/>
    </row>
    <row r="348" spans="1:10" ht="13.5" thickBot="1" x14ac:dyDescent="0.35">
      <c r="A348" s="448"/>
      <c r="B348" s="123"/>
      <c r="C348" s="123"/>
      <c r="D348" s="123"/>
      <c r="E348" s="123"/>
      <c r="F348" s="123"/>
      <c r="G348" s="123"/>
      <c r="H348" s="123"/>
      <c r="I348" s="123"/>
      <c r="J348" s="449"/>
    </row>
    <row r="349" spans="1:10" ht="13.5" thickTop="1" x14ac:dyDescent="0.3">
      <c r="A349" s="91"/>
      <c r="J349" s="95"/>
    </row>
    <row r="350" spans="1:10" ht="13.5" thickBot="1" x14ac:dyDescent="0.35">
      <c r="A350" s="448"/>
      <c r="B350" s="123"/>
      <c r="C350" s="123"/>
      <c r="D350" s="123"/>
      <c r="E350" s="123"/>
      <c r="F350" s="123"/>
      <c r="G350" s="123"/>
      <c r="H350" s="123"/>
      <c r="I350" s="123"/>
      <c r="J350" s="449"/>
    </row>
    <row r="351" spans="1:10" ht="14" thickTop="1" thickBot="1" x14ac:dyDescent="0.35">
      <c r="A351" s="91"/>
      <c r="B351" s="74"/>
      <c r="C351" s="74"/>
      <c r="D351" s="74"/>
      <c r="E351" s="74"/>
      <c r="F351" s="74"/>
      <c r="G351" s="74"/>
      <c r="H351" s="452"/>
      <c r="I351" s="452"/>
      <c r="J351" s="453"/>
    </row>
    <row r="352" spans="1:10" ht="13.5" thickTop="1" x14ac:dyDescent="0.3">
      <c r="A352" s="445"/>
      <c r="B352" s="120" t="s">
        <v>1</v>
      </c>
      <c r="C352" s="120"/>
      <c r="D352" s="120"/>
      <c r="E352" s="120"/>
      <c r="F352" s="120"/>
      <c r="G352" s="120"/>
      <c r="H352" s="120"/>
      <c r="I352" s="120"/>
      <c r="J352" s="446"/>
    </row>
    <row r="353" spans="1:10" ht="13" x14ac:dyDescent="0.3">
      <c r="A353" s="91"/>
      <c r="B353" s="92" t="s">
        <v>236</v>
      </c>
      <c r="C353" s="93"/>
      <c r="D353" s="93"/>
      <c r="E353" s="93"/>
      <c r="F353" s="93"/>
      <c r="G353" s="94"/>
      <c r="H353" s="74"/>
      <c r="I353" s="74"/>
      <c r="J353" s="95"/>
    </row>
    <row r="354" spans="1:10" ht="13" x14ac:dyDescent="0.3">
      <c r="A354" s="91"/>
      <c r="B354" s="74"/>
      <c r="C354" s="74"/>
      <c r="D354" s="74"/>
      <c r="E354" s="74"/>
      <c r="F354" s="74"/>
      <c r="G354" s="74"/>
      <c r="H354" s="74"/>
      <c r="I354" s="74"/>
      <c r="J354" s="95"/>
    </row>
    <row r="355" spans="1:10" ht="32.25" customHeight="1" x14ac:dyDescent="0.3">
      <c r="A355" s="91"/>
      <c r="B355" s="937" t="s">
        <v>515</v>
      </c>
      <c r="C355" s="938"/>
      <c r="D355" s="938"/>
      <c r="E355" s="938"/>
      <c r="F355" s="938"/>
      <c r="G355" s="939"/>
      <c r="H355" s="74"/>
      <c r="I355" s="74"/>
      <c r="J355" s="95"/>
    </row>
    <row r="356" spans="1:10" ht="13" x14ac:dyDescent="0.3">
      <c r="A356" s="91"/>
      <c r="B356" s="122"/>
      <c r="C356" s="74"/>
      <c r="D356" s="74"/>
      <c r="E356" s="74" t="s">
        <v>1</v>
      </c>
      <c r="F356" s="74"/>
      <c r="G356" s="74"/>
      <c r="H356" s="74"/>
      <c r="I356" s="74"/>
      <c r="J356" s="95"/>
    </row>
    <row r="357" spans="1:10" ht="13" x14ac:dyDescent="0.3">
      <c r="A357" s="91"/>
      <c r="B357" s="931" t="s">
        <v>238</v>
      </c>
      <c r="C357" s="932"/>
      <c r="D357" s="932"/>
      <c r="E357" s="932"/>
      <c r="F357" s="932"/>
      <c r="G357" s="933"/>
      <c r="H357" s="132" t="s">
        <v>235</v>
      </c>
      <c r="I357" s="132" t="s">
        <v>235</v>
      </c>
      <c r="J357" s="95"/>
    </row>
    <row r="358" spans="1:10" ht="13.5" thickBot="1" x14ac:dyDescent="0.35">
      <c r="A358" s="91"/>
      <c r="B358" s="74" t="s">
        <v>1</v>
      </c>
      <c r="C358" s="74"/>
      <c r="D358" s="74"/>
      <c r="E358" s="74"/>
      <c r="F358" s="74"/>
      <c r="G358" s="74"/>
      <c r="H358" s="74"/>
      <c r="I358" s="74"/>
      <c r="J358" s="95"/>
    </row>
    <row r="359" spans="1:10" ht="13.5" thickBot="1" x14ac:dyDescent="0.35">
      <c r="A359" s="91"/>
      <c r="B359" s="74"/>
      <c r="C359" s="74"/>
      <c r="D359" s="74"/>
      <c r="E359" s="74"/>
      <c r="F359" s="74"/>
      <c r="G359" s="74"/>
      <c r="H359" s="102" t="s">
        <v>239</v>
      </c>
      <c r="I359" s="102" t="s">
        <v>239</v>
      </c>
      <c r="J359" s="95"/>
    </row>
    <row r="360" spans="1:10" ht="13" x14ac:dyDescent="0.3">
      <c r="A360" s="91"/>
      <c r="B360" s="74" t="s">
        <v>1</v>
      </c>
      <c r="C360" s="74"/>
      <c r="D360" s="74"/>
      <c r="E360" s="74"/>
      <c r="F360" s="74"/>
      <c r="G360" s="74"/>
      <c r="H360" s="74"/>
      <c r="I360" s="74"/>
      <c r="J360" s="95"/>
    </row>
    <row r="361" spans="1:10" ht="13" x14ac:dyDescent="0.3">
      <c r="A361" s="91"/>
      <c r="B361" s="74"/>
      <c r="C361" s="74"/>
      <c r="D361" s="74"/>
      <c r="E361" s="74"/>
      <c r="F361" s="74"/>
      <c r="G361" s="74"/>
      <c r="H361" s="103" t="str">
        <f>+'Unit tariffs'!$F$11</f>
        <v>2026/2027</v>
      </c>
      <c r="I361" s="103" t="str">
        <f>+'Unit tariffs'!$F$11</f>
        <v>2026/2027</v>
      </c>
      <c r="J361" s="444" t="s">
        <v>313</v>
      </c>
    </row>
    <row r="362" spans="1:10" ht="13" x14ac:dyDescent="0.3">
      <c r="A362" s="91"/>
      <c r="B362" s="104" t="s">
        <v>117</v>
      </c>
      <c r="C362" s="74"/>
      <c r="D362" s="74"/>
      <c r="E362" s="74"/>
      <c r="F362" s="74"/>
      <c r="G362" s="74"/>
      <c r="H362" s="74"/>
      <c r="I362" s="74"/>
      <c r="J362" s="450"/>
    </row>
    <row r="363" spans="1:10" ht="13" x14ac:dyDescent="0.3">
      <c r="A363" s="91"/>
      <c r="B363" s="74" t="s">
        <v>118</v>
      </c>
      <c r="C363" s="74"/>
      <c r="D363" s="74"/>
      <c r="E363" s="74"/>
      <c r="F363" s="74"/>
      <c r="G363" s="74"/>
      <c r="H363" s="74"/>
      <c r="I363" s="74"/>
      <c r="J363" s="450"/>
    </row>
    <row r="364" spans="1:10" ht="13" x14ac:dyDescent="0.3">
      <c r="A364" s="91"/>
      <c r="B364" s="689">
        <f>3.5</f>
        <v>3.5</v>
      </c>
      <c r="C364" s="689" t="str">
        <f>'Unit tariffs'!B$131</f>
        <v>Primary Backbone - Urban</v>
      </c>
      <c r="D364" s="74"/>
      <c r="E364" s="74"/>
      <c r="F364" s="74" t="str">
        <f>'Unit tariffs'!C$131</f>
        <v>per kVA</v>
      </c>
      <c r="G364" s="74"/>
      <c r="H364" s="76">
        <v>4446.4959000000008</v>
      </c>
      <c r="I364" s="76">
        <f>VLOOKUP($C364,'Unit tariffs'!$B$21:$F$155,5,FALSE)*$B364</f>
        <v>5024.2424517747004</v>
      </c>
      <c r="J364" s="455"/>
    </row>
    <row r="365" spans="1:10" ht="13" x14ac:dyDescent="0.3">
      <c r="A365" s="91"/>
      <c r="B365" s="689">
        <v>3.5</v>
      </c>
      <c r="C365" s="689" t="str">
        <f>'Unit tariffs'!B$133</f>
        <v>Secondary Backbone - LV Urban</v>
      </c>
      <c r="D365" s="74"/>
      <c r="E365" s="74"/>
      <c r="F365" s="74" t="str">
        <f>'Unit tariffs'!C$132</f>
        <v>per kVA</v>
      </c>
      <c r="G365" s="74"/>
      <c r="H365" s="76">
        <v>3829.4140500000012</v>
      </c>
      <c r="I365" s="76">
        <f>VLOOKUP($C365,'Unit tariffs'!$B$21:$F$155,5,FALSE)*$B365</f>
        <v>4326.9813057586516</v>
      </c>
      <c r="J365" s="455"/>
    </row>
    <row r="366" spans="1:10" ht="13" x14ac:dyDescent="0.3">
      <c r="A366" s="91"/>
      <c r="B366" s="689">
        <v>3.5</v>
      </c>
      <c r="C366" s="689" t="str">
        <f>'Unit tariffs'!B$134</f>
        <v>LV Backbone -Urban</v>
      </c>
      <c r="D366" s="74"/>
      <c r="E366" s="74"/>
      <c r="F366" s="74" t="str">
        <f>'Unit tariffs'!C$133</f>
        <v>per kVA</v>
      </c>
      <c r="G366" s="74"/>
      <c r="H366" s="81">
        <v>1592.9529000000002</v>
      </c>
      <c r="I366" s="81">
        <f>VLOOKUP($C366,'Unit tariffs'!$B$21:$F$155,5,FALSE)*$B366</f>
        <v>1799.9300491556999</v>
      </c>
      <c r="J366" s="455"/>
    </row>
    <row r="367" spans="1:10" ht="13" x14ac:dyDescent="0.3">
      <c r="A367" s="91"/>
      <c r="B367" s="74"/>
      <c r="C367" s="74"/>
      <c r="D367" s="74"/>
      <c r="E367" s="74"/>
      <c r="F367" s="74"/>
      <c r="G367" s="74"/>
      <c r="H367" s="76">
        <v>9868.8628500000013</v>
      </c>
      <c r="I367" s="76">
        <f>SUM(I364:I366)</f>
        <v>11151.153806689053</v>
      </c>
      <c r="J367" s="455"/>
    </row>
    <row r="368" spans="1:10" ht="13" x14ac:dyDescent="0.3">
      <c r="A368" s="91"/>
      <c r="B368" s="74"/>
      <c r="C368" s="74"/>
      <c r="D368" s="74"/>
      <c r="E368" s="74"/>
      <c r="F368" s="74"/>
      <c r="G368" s="74"/>
      <c r="H368" s="76"/>
      <c r="I368" s="76"/>
      <c r="J368" s="455"/>
    </row>
    <row r="369" spans="1:10" ht="13" x14ac:dyDescent="0.3">
      <c r="A369" s="91"/>
      <c r="B369" s="104" t="s">
        <v>41</v>
      </c>
      <c r="C369" s="74"/>
      <c r="D369" s="74"/>
      <c r="E369" s="74"/>
      <c r="F369" s="74"/>
      <c r="G369" s="74"/>
      <c r="H369" s="76"/>
      <c r="I369" s="76"/>
      <c r="J369" s="455"/>
    </row>
    <row r="370" spans="1:10" ht="14.5" x14ac:dyDescent="0.35">
      <c r="A370" s="91"/>
      <c r="B370" s="74">
        <v>1</v>
      </c>
      <c r="C370" s="705" t="str">
        <f>'Unit tariffs'!B46</f>
        <v>METER: TIME OF USE 100 AMP</v>
      </c>
      <c r="D370" s="74"/>
      <c r="E370" s="74"/>
      <c r="F370" s="74"/>
      <c r="G370" s="74"/>
      <c r="H370" s="76">
        <v>5538.1406043608804</v>
      </c>
      <c r="I370" s="76">
        <f>VLOOKUP(C370,'Unit tariffs'!B21:F123,5,FALSE)*$B370</f>
        <v>0</v>
      </c>
      <c r="J370" s="457" t="e">
        <f>IF(+I370*'Unit tariffs'!#REF!&gt;'Unit tariffs'!#REF!,'Unit tariffs'!#REF!,+I370*'Unit tariffs'!#REF!)</f>
        <v>#REF!</v>
      </c>
    </row>
    <row r="371" spans="1:10" ht="13" x14ac:dyDescent="0.3">
      <c r="A371" s="91"/>
      <c r="B371" s="74">
        <v>1</v>
      </c>
      <c r="C371" s="74" t="str">
        <f>+'Unit tariffs'!B47</f>
        <v>Modum for TOU meter</v>
      </c>
      <c r="D371" s="74"/>
      <c r="E371" s="74"/>
      <c r="F371" s="74"/>
      <c r="G371" s="74"/>
      <c r="H371" s="76">
        <v>3707.5418271871995</v>
      </c>
      <c r="I371" s="76">
        <f>VLOOKUP($C371,'Unit tariffs'!$B$21:$F$123,5,FALSE)*$B371</f>
        <v>338.07595359999993</v>
      </c>
      <c r="J371" s="457" t="e">
        <f>IF(+I371*'Unit tariffs'!#REF!&gt;'Unit tariffs'!#REF!,'Unit tariffs'!#REF!,+I371*'Unit tariffs'!#REF!)</f>
        <v>#REF!</v>
      </c>
    </row>
    <row r="372" spans="1:10" ht="13" x14ac:dyDescent="0.3">
      <c r="A372" s="91"/>
      <c r="B372" s="74">
        <v>3</v>
      </c>
      <c r="C372" s="74" t="str">
        <f>'Unit tariffs'!B43</f>
        <v>x 80 A circuit breaker (5kA) - Orange</v>
      </c>
      <c r="D372" s="74"/>
      <c r="E372" s="74"/>
      <c r="F372" s="74"/>
      <c r="G372" s="74"/>
      <c r="H372" s="76">
        <v>587.413658244972</v>
      </c>
      <c r="I372" s="76">
        <f>VLOOKUP($C372,'Unit tariffs'!$B$21:$F$123,5,FALSE)*$B372</f>
        <v>0</v>
      </c>
      <c r="J372" s="457" t="e">
        <f>IF(+I372*'Unit tariffs'!#REF!&gt;'Unit tariffs'!#REF!,'Unit tariffs'!#REF!,+I372*'Unit tariffs'!#REF!)</f>
        <v>#REF!</v>
      </c>
    </row>
    <row r="373" spans="1:10" ht="13" x14ac:dyDescent="0.3">
      <c r="A373" s="91"/>
      <c r="B373" s="74">
        <v>1</v>
      </c>
      <c r="C373" s="74" t="str">
        <f>'Unit tariffs'!B21</f>
        <v>Installation material</v>
      </c>
      <c r="D373" s="74"/>
      <c r="E373" s="74"/>
      <c r="F373" s="74"/>
      <c r="G373" s="74"/>
      <c r="H373" s="81">
        <v>271.44100000000003</v>
      </c>
      <c r="I373" s="81">
        <f>VLOOKUP($C373,'Unit tariffs'!$B$21:$F$123,5,FALSE)*$B373</f>
        <v>282.48325</v>
      </c>
      <c r="J373" s="457" t="e">
        <f>IF(+I373*'Unit tariffs'!#REF!&gt;'Unit tariffs'!#REF!,'Unit tariffs'!#REF!,+I373*'Unit tariffs'!#REF!)</f>
        <v>#REF!</v>
      </c>
    </row>
    <row r="374" spans="1:10" ht="13" x14ac:dyDescent="0.3">
      <c r="A374" s="91"/>
      <c r="B374" s="74"/>
      <c r="C374" s="74"/>
      <c r="D374" s="74"/>
      <c r="E374" s="74"/>
      <c r="F374" s="74"/>
      <c r="G374" s="76"/>
      <c r="H374" s="76">
        <v>10104.537089793053</v>
      </c>
      <c r="I374" s="76">
        <f>SUM(I370:I373)</f>
        <v>620.55920359999993</v>
      </c>
      <c r="J374" s="455"/>
    </row>
    <row r="375" spans="1:10" ht="13" x14ac:dyDescent="0.3">
      <c r="A375" s="91"/>
      <c r="B375" s="74"/>
      <c r="C375" s="74"/>
      <c r="D375" s="74"/>
      <c r="E375" s="74"/>
      <c r="F375" s="74"/>
      <c r="G375" s="76"/>
      <c r="H375" s="76"/>
      <c r="I375" s="76"/>
      <c r="J375" s="455"/>
    </row>
    <row r="376" spans="1:10" ht="13" x14ac:dyDescent="0.3">
      <c r="A376" s="91"/>
      <c r="B376" s="104" t="s">
        <v>42</v>
      </c>
      <c r="C376" s="74"/>
      <c r="D376" s="74"/>
      <c r="E376" s="74"/>
      <c r="F376" s="74"/>
      <c r="G376" s="74"/>
      <c r="J376" s="455"/>
    </row>
    <row r="377" spans="1:10" ht="13" x14ac:dyDescent="0.3">
      <c r="A377" s="91"/>
      <c r="B377" s="74"/>
      <c r="C377" s="74"/>
      <c r="D377" s="74"/>
      <c r="E377" s="74"/>
      <c r="F377" s="74"/>
      <c r="G377" s="74"/>
      <c r="J377" s="455"/>
    </row>
    <row r="378" spans="1:10" ht="13" x14ac:dyDescent="0.3">
      <c r="A378" s="91"/>
      <c r="B378" s="74">
        <v>2</v>
      </c>
      <c r="C378" s="74" t="str">
        <f>'Unit tariffs'!B$87</f>
        <v xml:space="preserve">hour-artisan </v>
      </c>
      <c r="D378" s="74"/>
      <c r="E378" s="74"/>
      <c r="F378" s="74"/>
      <c r="G378" s="74"/>
      <c r="H378" s="76">
        <v>645.70446346153847</v>
      </c>
      <c r="I378" s="76">
        <f>VLOOKUP($C378,'Unit tariffs'!$B$21:$F$123,5,FALSE)*$B378</f>
        <v>702.38553230769242</v>
      </c>
      <c r="J378" s="455"/>
    </row>
    <row r="379" spans="1:10" ht="13" x14ac:dyDescent="0.3">
      <c r="A379" s="91"/>
      <c r="B379" s="74">
        <f>+B378*2</f>
        <v>4</v>
      </c>
      <c r="C379" s="74" t="str">
        <f>'Unit tariffs'!B$85</f>
        <v>hour-artisan assistant</v>
      </c>
      <c r="D379" s="74"/>
      <c r="E379" s="74"/>
      <c r="F379" s="74"/>
      <c r="G379" s="74"/>
      <c r="H379" s="81">
        <v>514.14323076923085</v>
      </c>
      <c r="I379" s="81">
        <f>VLOOKUP($C379,'Unit tariffs'!$B$21:$F$123,5,FALSE)*$B379</f>
        <v>559.29703384615391</v>
      </c>
      <c r="J379" s="455"/>
    </row>
    <row r="380" spans="1:10" ht="13" x14ac:dyDescent="0.3">
      <c r="A380" s="91"/>
      <c r="B380" s="74"/>
      <c r="C380" s="74"/>
      <c r="D380" s="74"/>
      <c r="E380" s="74"/>
      <c r="F380" s="74"/>
      <c r="G380" s="74"/>
      <c r="H380" s="76">
        <v>1159.8476942307693</v>
      </c>
      <c r="I380" s="76">
        <f>SUM(I378:I379)</f>
        <v>1261.6825661538464</v>
      </c>
      <c r="J380" s="455"/>
    </row>
    <row r="381" spans="1:10" ht="13" x14ac:dyDescent="0.3">
      <c r="A381" s="91"/>
      <c r="B381" s="104" t="s">
        <v>43</v>
      </c>
      <c r="C381" s="74"/>
      <c r="D381" s="74"/>
      <c r="E381" s="74"/>
      <c r="F381" s="74"/>
      <c r="G381" s="74"/>
      <c r="J381" s="455"/>
    </row>
    <row r="382" spans="1:10" ht="13" x14ac:dyDescent="0.3">
      <c r="A382" s="91"/>
      <c r="B382" s="74"/>
      <c r="C382" s="74"/>
      <c r="D382" s="74"/>
      <c r="E382" s="74"/>
      <c r="F382" s="74"/>
      <c r="G382" s="74"/>
      <c r="J382" s="455"/>
    </row>
    <row r="383" spans="1:10" ht="13" x14ac:dyDescent="0.3">
      <c r="A383" s="91"/>
      <c r="B383" s="74">
        <v>24</v>
      </c>
      <c r="C383" s="74" t="str">
        <f>'Unit tariffs'!B$111</f>
        <v>km-truck with platform</v>
      </c>
      <c r="D383" s="74"/>
      <c r="E383" s="74"/>
      <c r="F383" s="74"/>
      <c r="G383" s="74"/>
      <c r="H383" s="76">
        <v>1010.8920834182238</v>
      </c>
      <c r="I383" s="76">
        <f>VLOOKUP($C383,'Unit tariffs'!$B$21:$F$123,5,FALSE)*$B383</f>
        <v>1182.7997218118533</v>
      </c>
      <c r="J383" s="455"/>
    </row>
    <row r="384" spans="1:10" ht="13" x14ac:dyDescent="0.3">
      <c r="A384" s="91"/>
      <c r="B384" s="74">
        <v>0.5</v>
      </c>
      <c r="C384" s="74" t="str">
        <f>'Unit tariffs'!B$112</f>
        <v>hour-truck with platform</v>
      </c>
      <c r="D384" s="74"/>
      <c r="E384" s="74"/>
      <c r="F384" s="74"/>
      <c r="G384" s="74"/>
      <c r="H384" s="81">
        <v>102.49220865583656</v>
      </c>
      <c r="I384" s="81">
        <f>VLOOKUP($C384,'Unit tariffs'!$B$21:$F$123,5,FALSE)*$B384</f>
        <v>119.9215602481396</v>
      </c>
      <c r="J384" s="455"/>
    </row>
    <row r="385" spans="1:10" ht="13.5" thickBot="1" x14ac:dyDescent="0.35">
      <c r="A385" s="91"/>
      <c r="B385" s="74"/>
      <c r="C385" s="74"/>
      <c r="D385" s="74"/>
      <c r="E385" s="74"/>
      <c r="F385" s="74"/>
      <c r="G385" s="74"/>
      <c r="H385" s="107">
        <v>1113.3842920740603</v>
      </c>
      <c r="I385" s="107">
        <f>SUM(I383:I384)</f>
        <v>1302.721282059993</v>
      </c>
      <c r="J385" s="455"/>
    </row>
    <row r="386" spans="1:10" ht="13.5" thickTop="1" x14ac:dyDescent="0.3">
      <c r="A386" s="91"/>
      <c r="B386" s="74"/>
      <c r="C386" s="74"/>
      <c r="D386" s="74"/>
      <c r="E386" s="74"/>
      <c r="F386" s="74"/>
      <c r="G386" s="76"/>
      <c r="H386" s="76">
        <v>22246.631926097885</v>
      </c>
      <c r="I386" s="76">
        <f>+I385+I380+I374+I367</f>
        <v>14336.116858502894</v>
      </c>
      <c r="J386" s="455"/>
    </row>
    <row r="387" spans="1:10" ht="13.5" thickBot="1" x14ac:dyDescent="0.35">
      <c r="A387" s="91"/>
      <c r="B387" s="104" t="str">
        <f>'Unit tariffs'!$B$7</f>
        <v>Administration Levy (Indirect Cost)</v>
      </c>
      <c r="C387" s="74"/>
      <c r="D387" s="106">
        <f>'Unit tariffs'!$C$7</f>
        <v>0.1</v>
      </c>
      <c r="E387" s="74" t="s">
        <v>311</v>
      </c>
      <c r="F387" s="186">
        <f>+'Unit tariffs'!$F$7</f>
        <v>10000</v>
      </c>
      <c r="G387" s="76"/>
      <c r="H387" s="108">
        <v>2224.6631926097884</v>
      </c>
      <c r="I387" s="108">
        <f>IF(I386*$D387&gt;='Unit tariffs'!$E$7,'Unit tariffs'!$E$7,I386*$D387)</f>
        <v>1433.6116858502894</v>
      </c>
      <c r="J387" s="455"/>
    </row>
    <row r="388" spans="1:10" ht="13.5" thickTop="1" x14ac:dyDescent="0.3">
      <c r="A388" s="91"/>
      <c r="B388" s="104" t="s">
        <v>44</v>
      </c>
      <c r="C388" s="74"/>
      <c r="D388" s="74"/>
      <c r="E388" s="74"/>
      <c r="F388" s="74"/>
      <c r="G388" s="76"/>
      <c r="H388" s="109">
        <v>24471.295118707672</v>
      </c>
      <c r="I388" s="109">
        <f>SUM(I386:I387)</f>
        <v>15769.728544353184</v>
      </c>
      <c r="J388" s="455"/>
    </row>
    <row r="389" spans="1:10" ht="13" x14ac:dyDescent="0.3">
      <c r="A389" s="91"/>
      <c r="B389" s="104"/>
      <c r="C389" s="74"/>
      <c r="D389" s="74"/>
      <c r="E389" s="74"/>
      <c r="F389" s="74"/>
      <c r="G389" s="76"/>
      <c r="H389" s="74"/>
      <c r="I389" s="74"/>
      <c r="J389" s="455"/>
    </row>
    <row r="390" spans="1:10" ht="13" x14ac:dyDescent="0.3">
      <c r="A390" s="91"/>
      <c r="B390" s="104" t="s">
        <v>45</v>
      </c>
      <c r="C390" s="74"/>
      <c r="D390" s="74"/>
      <c r="E390" s="74"/>
      <c r="F390" s="74"/>
      <c r="G390" s="74"/>
      <c r="H390" s="84">
        <v>24470</v>
      </c>
      <c r="I390" s="84">
        <f>ROUND(I388,-1)</f>
        <v>15770</v>
      </c>
      <c r="J390" s="455"/>
    </row>
    <row r="391" spans="1:10" ht="13" x14ac:dyDescent="0.3">
      <c r="A391" s="91"/>
      <c r="B391" s="74"/>
      <c r="C391" s="74"/>
      <c r="D391" s="74"/>
      <c r="E391" s="74"/>
      <c r="F391" s="74"/>
      <c r="G391" s="74"/>
      <c r="H391" s="76"/>
      <c r="I391" s="76"/>
      <c r="J391" s="455"/>
    </row>
    <row r="392" spans="1:10" ht="13" x14ac:dyDescent="0.3">
      <c r="A392" s="91"/>
      <c r="B392" s="74"/>
      <c r="C392" s="74"/>
      <c r="D392" s="74"/>
      <c r="E392" s="74"/>
      <c r="F392" s="74"/>
      <c r="G392" s="74"/>
      <c r="H392" s="112">
        <v>0.31065881092662023</v>
      </c>
      <c r="I392" s="112">
        <f>(+I390-H390)/H390</f>
        <v>-0.35553739272578666</v>
      </c>
      <c r="J392" s="113"/>
    </row>
    <row r="393" spans="1:10" ht="13" x14ac:dyDescent="0.3">
      <c r="A393" s="91"/>
      <c r="B393" s="74"/>
      <c r="C393" s="74"/>
      <c r="D393" s="74"/>
      <c r="E393" s="74"/>
      <c r="F393" s="74"/>
      <c r="G393" s="74"/>
      <c r="H393" s="112"/>
      <c r="I393" s="112"/>
      <c r="J393" s="113"/>
    </row>
    <row r="394" spans="1:10" ht="13.5" thickBot="1" x14ac:dyDescent="0.35">
      <c r="A394" s="448"/>
      <c r="B394" s="123"/>
      <c r="C394" s="123"/>
      <c r="D394" s="123"/>
      <c r="E394" s="123"/>
      <c r="F394" s="123"/>
      <c r="G394" s="123"/>
      <c r="H394" s="123"/>
      <c r="I394" s="123"/>
      <c r="J394" s="95"/>
    </row>
    <row r="395" spans="1:10" ht="13.5" thickTop="1" x14ac:dyDescent="0.3">
      <c r="A395" s="91"/>
      <c r="B395" s="74"/>
      <c r="C395" s="74"/>
      <c r="D395" s="74"/>
      <c r="E395" s="74"/>
      <c r="F395" s="74"/>
      <c r="G395" s="74"/>
      <c r="H395" s="74"/>
      <c r="I395" s="74"/>
      <c r="J395" s="95"/>
    </row>
    <row r="396" spans="1:10" ht="13.5" thickBot="1" x14ac:dyDescent="0.35">
      <c r="A396" s="91"/>
      <c r="B396" s="74"/>
      <c r="C396" s="74"/>
      <c r="D396" s="74"/>
      <c r="E396" s="74"/>
      <c r="F396" s="74"/>
      <c r="G396" s="74"/>
      <c r="H396" s="74"/>
      <c r="I396" s="74"/>
      <c r="J396" s="95"/>
    </row>
    <row r="397" spans="1:10" ht="13.5" thickTop="1" x14ac:dyDescent="0.3">
      <c r="A397" s="445"/>
      <c r="B397" s="134"/>
      <c r="C397" s="120"/>
      <c r="D397" s="120"/>
      <c r="E397" s="120" t="s">
        <v>1</v>
      </c>
      <c r="F397" s="120"/>
      <c r="G397" s="120"/>
      <c r="H397" s="120"/>
      <c r="I397" s="120"/>
      <c r="J397" s="95"/>
    </row>
    <row r="398" spans="1:10" ht="22.5" customHeight="1" x14ac:dyDescent="0.3">
      <c r="A398" s="91"/>
      <c r="B398" s="931" t="s">
        <v>234</v>
      </c>
      <c r="C398" s="932"/>
      <c r="D398" s="932"/>
      <c r="E398" s="932"/>
      <c r="F398" s="932"/>
      <c r="G398" s="933"/>
      <c r="H398" s="131" t="s">
        <v>577</v>
      </c>
      <c r="I398" s="131" t="s">
        <v>577</v>
      </c>
      <c r="J398" s="95"/>
    </row>
    <row r="399" spans="1:10" ht="13" x14ac:dyDescent="0.3">
      <c r="A399" s="91"/>
      <c r="B399" s="74" t="s">
        <v>1</v>
      </c>
      <c r="C399" s="74"/>
      <c r="D399" s="74"/>
      <c r="E399" s="74"/>
      <c r="F399" s="74"/>
      <c r="G399" s="74"/>
      <c r="H399" s="74"/>
      <c r="I399" s="74"/>
      <c r="J399" s="95"/>
    </row>
    <row r="400" spans="1:10" ht="41.25" customHeight="1" x14ac:dyDescent="0.3">
      <c r="A400" s="91"/>
      <c r="B400" s="937" t="s">
        <v>516</v>
      </c>
      <c r="C400" s="938"/>
      <c r="D400" s="938"/>
      <c r="E400" s="938"/>
      <c r="F400" s="938"/>
      <c r="G400" s="939"/>
      <c r="H400" s="74"/>
      <c r="I400" s="74"/>
      <c r="J400" s="95"/>
    </row>
    <row r="401" spans="1:11" ht="13" x14ac:dyDescent="0.3">
      <c r="A401" s="91"/>
      <c r="B401" s="74" t="s">
        <v>1</v>
      </c>
      <c r="C401" s="74"/>
      <c r="D401" s="74"/>
      <c r="E401" s="74"/>
      <c r="F401" s="74"/>
      <c r="G401" s="74"/>
      <c r="H401" s="103" t="str">
        <f>+'Unit tariffs'!$F$11</f>
        <v>2026/2027</v>
      </c>
      <c r="I401" s="103" t="str">
        <f>+'Unit tariffs'!$F$11</f>
        <v>2026/2027</v>
      </c>
      <c r="J401" s="444" t="s">
        <v>313</v>
      </c>
    </row>
    <row r="402" spans="1:11" ht="13.5" thickBot="1" x14ac:dyDescent="0.35">
      <c r="A402" s="91"/>
      <c r="B402" s="74"/>
      <c r="C402" s="74"/>
      <c r="D402" s="74"/>
      <c r="E402" s="74"/>
      <c r="F402" s="74"/>
      <c r="G402" s="74"/>
      <c r="H402" s="127"/>
      <c r="I402" s="127"/>
      <c r="J402" s="450"/>
    </row>
    <row r="403" spans="1:11" ht="13.5" thickBot="1" x14ac:dyDescent="0.35">
      <c r="A403" s="91"/>
      <c r="B403" s="74"/>
      <c r="C403" s="74"/>
      <c r="D403" s="74"/>
      <c r="E403" s="74"/>
      <c r="F403" s="74"/>
      <c r="G403" s="74"/>
      <c r="H403" s="345" t="s">
        <v>239</v>
      </c>
      <c r="I403" s="345" t="s">
        <v>239</v>
      </c>
      <c r="J403" s="450"/>
    </row>
    <row r="404" spans="1:11" ht="13" x14ac:dyDescent="0.3">
      <c r="A404" s="91"/>
      <c r="B404" s="104" t="s">
        <v>117</v>
      </c>
      <c r="C404" s="74"/>
      <c r="D404" s="74"/>
      <c r="E404" s="74"/>
      <c r="F404" s="74"/>
      <c r="G404" s="74"/>
      <c r="H404" s="76"/>
      <c r="I404" s="76"/>
      <c r="J404" s="450"/>
    </row>
    <row r="405" spans="1:11" ht="13" x14ac:dyDescent="0.3">
      <c r="A405" s="91"/>
      <c r="B405" s="74" t="s">
        <v>118</v>
      </c>
      <c r="C405" s="74"/>
      <c r="D405" s="74"/>
      <c r="E405" s="74"/>
      <c r="F405" s="74"/>
      <c r="G405" s="74"/>
      <c r="J405" s="105"/>
    </row>
    <row r="406" spans="1:11" ht="13" x14ac:dyDescent="0.3">
      <c r="A406" s="91"/>
      <c r="B406" s="74">
        <v>3.5</v>
      </c>
      <c r="C406" s="74" t="str">
        <f>'Unit tariffs'!B$133</f>
        <v>Secondary Backbone - LV Urban</v>
      </c>
      <c r="D406" s="74"/>
      <c r="E406" s="74"/>
      <c r="F406" s="74" t="str">
        <f>'Unit tariffs'!C$132</f>
        <v>per kVA</v>
      </c>
      <c r="G406" s="74"/>
      <c r="H406" s="76">
        <v>3829.4140500000012</v>
      </c>
      <c r="I406" s="76">
        <f>VLOOKUP($C406,'Unit tariffs'!$B$21:$F$158,5,FALSE)*$B406</f>
        <v>4326.9813057586516</v>
      </c>
      <c r="J406" s="105"/>
    </row>
    <row r="407" spans="1:11" ht="13" x14ac:dyDescent="0.3">
      <c r="A407" s="91"/>
      <c r="B407" s="74">
        <v>3.5</v>
      </c>
      <c r="C407" s="74" t="str">
        <f>'Unit tariffs'!B$134</f>
        <v>LV Backbone -Urban</v>
      </c>
      <c r="D407" s="74"/>
      <c r="E407" s="74"/>
      <c r="F407" s="74" t="str">
        <f>'Unit tariffs'!C$133</f>
        <v>per kVA</v>
      </c>
      <c r="G407" s="74"/>
      <c r="H407" s="81">
        <v>1592.9529000000002</v>
      </c>
      <c r="I407" s="81">
        <f>VLOOKUP($C407,'Unit tariffs'!$B$21:$F$158,5,FALSE)*$B407</f>
        <v>1799.9300491556999</v>
      </c>
      <c r="J407" s="105"/>
    </row>
    <row r="408" spans="1:11" ht="13" x14ac:dyDescent="0.3">
      <c r="A408" s="91"/>
      <c r="B408" s="74"/>
      <c r="C408" s="74"/>
      <c r="D408" s="74"/>
      <c r="E408" s="74"/>
      <c r="F408" s="74"/>
      <c r="G408" s="74"/>
      <c r="H408" s="76">
        <v>5422.3669500000015</v>
      </c>
      <c r="I408" s="76">
        <f>SUM(I406:I407)</f>
        <v>6126.9113549143513</v>
      </c>
      <c r="J408" s="105"/>
    </row>
    <row r="409" spans="1:11" ht="13" x14ac:dyDescent="0.3">
      <c r="A409" s="91" t="s">
        <v>231</v>
      </c>
      <c r="B409" s="104" t="s">
        <v>41</v>
      </c>
      <c r="C409" s="74"/>
      <c r="D409" s="74"/>
      <c r="E409" s="74"/>
      <c r="F409" s="74"/>
      <c r="G409" s="74"/>
      <c r="H409" s="76"/>
      <c r="I409" s="76"/>
      <c r="J409" s="95"/>
    </row>
    <row r="410" spans="1:11" ht="14.5" x14ac:dyDescent="0.35">
      <c r="A410" s="91"/>
      <c r="B410" s="74">
        <v>1</v>
      </c>
      <c r="C410" s="705" t="str">
        <f>'Unit tariffs'!B46</f>
        <v>METER: TIME OF USE 100 AMP</v>
      </c>
      <c r="D410" s="74"/>
      <c r="E410" s="74"/>
      <c r="F410" s="74"/>
      <c r="G410" s="74"/>
      <c r="H410" s="76">
        <v>5538.1406043608804</v>
      </c>
      <c r="I410" s="76">
        <f>VLOOKUP($C410,'Unit tariffs'!$B$21:$F$123,5,FALSE)*$B410</f>
        <v>0</v>
      </c>
      <c r="J410" s="457" t="e">
        <f>IF(+I410*'Unit tariffs'!#REF!&gt;'Unit tariffs'!#REF!,'Unit tariffs'!#REF!,+I410*'Unit tariffs'!#REF!)</f>
        <v>#REF!</v>
      </c>
      <c r="K410" s="344"/>
    </row>
    <row r="411" spans="1:11" ht="13" x14ac:dyDescent="0.3">
      <c r="A411" s="91"/>
      <c r="B411" s="74">
        <v>1</v>
      </c>
      <c r="C411" s="74" t="str">
        <f>+'Unit tariffs'!B47</f>
        <v>Modum for TOU meter</v>
      </c>
      <c r="D411" s="74"/>
      <c r="E411" s="74"/>
      <c r="F411" s="74"/>
      <c r="G411" s="74"/>
      <c r="H411" s="76">
        <v>3707.5418271871995</v>
      </c>
      <c r="I411" s="76">
        <f>VLOOKUP($C411,'Unit tariffs'!$B$21:$F$123,5,FALSE)*$B411</f>
        <v>338.07595359999993</v>
      </c>
      <c r="J411" s="457" t="e">
        <f>IF(+I411*'Unit tariffs'!#REF!&gt;'Unit tariffs'!#REF!,'Unit tariffs'!#REF!,+I411*'Unit tariffs'!#REF!)</f>
        <v>#REF!</v>
      </c>
      <c r="K411" s="344"/>
    </row>
    <row r="412" spans="1:11" ht="13" x14ac:dyDescent="0.3">
      <c r="A412" s="91"/>
      <c r="B412" s="74">
        <v>3</v>
      </c>
      <c r="C412" s="74" t="str">
        <f>'Unit tariffs'!B43</f>
        <v>x 80 A circuit breaker (5kA) - Orange</v>
      </c>
      <c r="D412" s="74"/>
      <c r="E412" s="74"/>
      <c r="F412" s="74"/>
      <c r="G412" s="74"/>
      <c r="H412" s="76">
        <v>587.413658244972</v>
      </c>
      <c r="I412" s="76">
        <f>VLOOKUP($C412,'Unit tariffs'!$B$21:$F$123,5,FALSE)*$B412</f>
        <v>0</v>
      </c>
      <c r="J412" s="457" t="e">
        <f>IF(+I412*'Unit tariffs'!#REF!&gt;'Unit tariffs'!#REF!,'Unit tariffs'!#REF!,+I412*'Unit tariffs'!#REF!)</f>
        <v>#REF!</v>
      </c>
      <c r="K412" s="344"/>
    </row>
    <row r="413" spans="1:11" ht="13" x14ac:dyDescent="0.3">
      <c r="A413" s="91"/>
      <c r="B413" s="74">
        <v>1</v>
      </c>
      <c r="C413" s="74" t="str">
        <f>'Unit tariffs'!B72</f>
        <v>Cable clamp (Clampex) - K26</v>
      </c>
      <c r="D413" s="74"/>
      <c r="E413" s="74"/>
      <c r="F413" s="74"/>
      <c r="G413" s="74"/>
      <c r="H413" s="76">
        <v>34.833456142903692</v>
      </c>
      <c r="I413" s="76">
        <f>VLOOKUP($C413,'Unit tariffs'!$B$21:$F$123,5,FALSE)*$B413</f>
        <v>1423.2410081400001</v>
      </c>
      <c r="J413" s="457" t="e">
        <f>IF(+I413*'Unit tariffs'!#REF!&gt;'Unit tariffs'!#REF!,'Unit tariffs'!#REF!,+I413*'Unit tariffs'!#REF!)</f>
        <v>#REF!</v>
      </c>
      <c r="K413" s="344"/>
    </row>
    <row r="414" spans="1:11" ht="13" x14ac:dyDescent="0.3">
      <c r="A414" s="91"/>
      <c r="B414" s="74">
        <v>1</v>
      </c>
      <c r="C414" s="74" t="str">
        <f>'Unit tariffs'!B21</f>
        <v>Installation material</v>
      </c>
      <c r="D414" s="74"/>
      <c r="E414" s="74"/>
      <c r="F414" s="74"/>
      <c r="G414" s="74"/>
      <c r="H414" s="81">
        <v>271.44100000000003</v>
      </c>
      <c r="I414" s="81">
        <f>VLOOKUP($C414,'Unit tariffs'!$B$21:$F$123,5,FALSE)*$B414</f>
        <v>282.48325</v>
      </c>
      <c r="J414" s="457" t="e">
        <f>IF(+I414*'Unit tariffs'!#REF!&gt;'Unit tariffs'!#REF!,'Unit tariffs'!#REF!,+I414*'Unit tariffs'!#REF!)</f>
        <v>#REF!</v>
      </c>
      <c r="K414" s="344"/>
    </row>
    <row r="415" spans="1:11" ht="13" x14ac:dyDescent="0.3">
      <c r="A415" s="91"/>
      <c r="B415" s="74"/>
      <c r="C415" s="74"/>
      <c r="D415" s="74"/>
      <c r="E415" s="74"/>
      <c r="F415" s="74"/>
      <c r="G415" s="76"/>
      <c r="H415" s="76">
        <v>10139.370545935957</v>
      </c>
      <c r="I415" s="76">
        <f>SUM(I410:I414)</f>
        <v>2043.8002117399999</v>
      </c>
      <c r="J415" s="95"/>
    </row>
    <row r="416" spans="1:11" ht="13" x14ac:dyDescent="0.3">
      <c r="A416" s="91"/>
      <c r="B416" s="104" t="s">
        <v>42</v>
      </c>
      <c r="C416" s="74"/>
      <c r="D416" s="74"/>
      <c r="E416" s="74"/>
      <c r="F416" s="74"/>
      <c r="G416" s="74"/>
      <c r="H416" s="74"/>
      <c r="I416" s="74"/>
      <c r="J416" s="95"/>
    </row>
    <row r="417" spans="1:11" ht="13" x14ac:dyDescent="0.3">
      <c r="A417" s="91"/>
      <c r="B417" s="74">
        <v>2</v>
      </c>
      <c r="C417" s="74" t="str">
        <f>'Unit tariffs'!B$87</f>
        <v xml:space="preserve">hour-artisan </v>
      </c>
      <c r="D417" s="74"/>
      <c r="E417" s="74"/>
      <c r="F417" s="74"/>
      <c r="G417" s="74"/>
      <c r="H417" s="76">
        <v>645.70446346153847</v>
      </c>
      <c r="I417" s="76">
        <f>VLOOKUP($C417,'Unit tariffs'!$B$21:$F$123,5,FALSE)*$B417</f>
        <v>702.38553230769242</v>
      </c>
      <c r="J417" s="105"/>
    </row>
    <row r="418" spans="1:11" ht="13" x14ac:dyDescent="0.3">
      <c r="A418" s="91"/>
      <c r="B418" s="74">
        <f>+B417*1</f>
        <v>2</v>
      </c>
      <c r="C418" s="74" t="str">
        <f>'Unit tariffs'!B$85</f>
        <v>hour-artisan assistant</v>
      </c>
      <c r="D418" s="74"/>
      <c r="E418" s="74"/>
      <c r="F418" s="74"/>
      <c r="G418" s="74"/>
      <c r="H418" s="81">
        <v>257.07161538461543</v>
      </c>
      <c r="I418" s="81">
        <f>VLOOKUP($C418,'Unit tariffs'!$B$21:$F$123,5,FALSE)*$B418</f>
        <v>279.64851692307695</v>
      </c>
      <c r="J418" s="105"/>
    </row>
    <row r="419" spans="1:11" ht="13" x14ac:dyDescent="0.3">
      <c r="A419" s="91"/>
      <c r="B419" s="74"/>
      <c r="C419" s="74"/>
      <c r="D419" s="74"/>
      <c r="E419" s="74"/>
      <c r="F419" s="74"/>
      <c r="G419" s="74"/>
      <c r="H419" s="76">
        <v>902.77607884615395</v>
      </c>
      <c r="I419" s="76">
        <f>SUM(I417:J418)</f>
        <v>982.03404923076937</v>
      </c>
      <c r="J419" s="95"/>
    </row>
    <row r="420" spans="1:11" ht="13" x14ac:dyDescent="0.3">
      <c r="A420" s="91"/>
      <c r="B420" s="104" t="s">
        <v>43</v>
      </c>
      <c r="C420" s="74"/>
      <c r="D420" s="74"/>
      <c r="E420" s="74"/>
      <c r="F420" s="74"/>
      <c r="G420" s="74"/>
      <c r="H420" s="74"/>
      <c r="I420" s="74"/>
      <c r="J420" s="95"/>
    </row>
    <row r="421" spans="1:11" ht="13" x14ac:dyDescent="0.3">
      <c r="A421" s="91"/>
      <c r="B421" s="74">
        <v>24</v>
      </c>
      <c r="C421" s="74" t="str">
        <f>'Unit tariffs'!B$111</f>
        <v>km-truck with platform</v>
      </c>
      <c r="D421" s="74"/>
      <c r="E421" s="74"/>
      <c r="F421" s="74"/>
      <c r="G421" s="74"/>
      <c r="H421" s="76">
        <v>1010.8920834182238</v>
      </c>
      <c r="I421" s="76">
        <f>VLOOKUP($C421,'Unit tariffs'!$B$21:$F$123,5,FALSE)*$B421</f>
        <v>1182.7997218118533</v>
      </c>
      <c r="J421" s="105"/>
    </row>
    <row r="422" spans="1:11" ht="13" x14ac:dyDescent="0.3">
      <c r="A422" s="91"/>
      <c r="B422" s="74">
        <f>+B417</f>
        <v>2</v>
      </c>
      <c r="C422" s="74" t="str">
        <f>'Unit tariffs'!B$112</f>
        <v>hour-truck with platform</v>
      </c>
      <c r="D422" s="74"/>
      <c r="E422" s="74"/>
      <c r="F422" s="74"/>
      <c r="G422" s="74"/>
      <c r="H422" s="81">
        <v>409.96883462334625</v>
      </c>
      <c r="I422" s="81">
        <f>VLOOKUP($C422,'Unit tariffs'!$B$21:$F$123,5,FALSE)*$B422</f>
        <v>479.6862409925584</v>
      </c>
      <c r="J422" s="105"/>
    </row>
    <row r="423" spans="1:11" ht="13.5" thickBot="1" x14ac:dyDescent="0.35">
      <c r="A423" s="91"/>
      <c r="B423" s="74"/>
      <c r="C423" s="74"/>
      <c r="D423" s="74"/>
      <c r="E423" s="74"/>
      <c r="F423" s="74"/>
      <c r="G423" s="74"/>
      <c r="H423" s="107">
        <v>1420.8609180415701</v>
      </c>
      <c r="I423" s="107">
        <f>SUM(I421:I422)</f>
        <v>1662.4859628044117</v>
      </c>
      <c r="J423" s="105"/>
    </row>
    <row r="424" spans="1:11" ht="13.5" thickTop="1" x14ac:dyDescent="0.3">
      <c r="A424" s="91"/>
      <c r="B424" s="74"/>
      <c r="C424" s="74"/>
      <c r="D424" s="74"/>
      <c r="E424" s="74"/>
      <c r="F424" s="74"/>
      <c r="G424" s="76"/>
      <c r="H424" s="76">
        <v>17885.374492823685</v>
      </c>
      <c r="I424" s="76">
        <f>+I423+I419+I415+I408</f>
        <v>10815.231578689532</v>
      </c>
      <c r="J424" s="105"/>
    </row>
    <row r="425" spans="1:11" ht="13.5" thickBot="1" x14ac:dyDescent="0.35">
      <c r="A425" s="91"/>
      <c r="B425" s="104" t="str">
        <f>'Unit tariffs'!$B$7</f>
        <v>Administration Levy (Indirect Cost)</v>
      </c>
      <c r="C425" s="74"/>
      <c r="D425" s="106">
        <f>'Unit tariffs'!$C$7</f>
        <v>0.1</v>
      </c>
      <c r="E425" s="74" t="s">
        <v>311</v>
      </c>
      <c r="F425" s="186">
        <f>+'Unit tariffs'!$F$7</f>
        <v>10000</v>
      </c>
      <c r="G425" s="76"/>
      <c r="H425" s="108">
        <v>1788.5374492823685</v>
      </c>
      <c r="I425" s="108">
        <f>IF(I424*$D425&gt;='Unit tariffs'!$E$7,'Unit tariffs'!$E$7,I424*$D425)</f>
        <v>1081.5231578689534</v>
      </c>
      <c r="J425" s="105"/>
    </row>
    <row r="426" spans="1:11" ht="13.5" thickTop="1" x14ac:dyDescent="0.3">
      <c r="A426" s="91"/>
      <c r="B426" s="104" t="s">
        <v>44</v>
      </c>
      <c r="C426" s="74"/>
      <c r="D426" s="74"/>
      <c r="E426" s="74"/>
      <c r="F426" s="74"/>
      <c r="G426" s="76"/>
      <c r="H426" s="109">
        <v>19673.911942106053</v>
      </c>
      <c r="I426" s="109">
        <f>SUM(I424:I425)</f>
        <v>11896.754736558485</v>
      </c>
      <c r="J426" s="105"/>
    </row>
    <row r="427" spans="1:11" ht="13" x14ac:dyDescent="0.3">
      <c r="A427" s="91"/>
      <c r="B427" s="104"/>
      <c r="C427" s="74"/>
      <c r="D427" s="74"/>
      <c r="E427" s="74"/>
      <c r="F427" s="74"/>
      <c r="G427" s="76"/>
      <c r="H427" s="74"/>
      <c r="I427" s="74"/>
      <c r="J427" s="110"/>
    </row>
    <row r="428" spans="1:11" ht="13" x14ac:dyDescent="0.3">
      <c r="A428" s="91"/>
      <c r="B428" s="104" t="s">
        <v>45</v>
      </c>
      <c r="C428" s="74"/>
      <c r="D428" s="74"/>
      <c r="E428" s="74"/>
      <c r="F428" s="74"/>
      <c r="G428" s="84">
        <v>8130</v>
      </c>
      <c r="H428" s="84">
        <v>19670</v>
      </c>
      <c r="I428" s="84">
        <f>ROUND(I426,-1)</f>
        <v>11900</v>
      </c>
      <c r="J428" s="105"/>
      <c r="K428" s="111"/>
    </row>
    <row r="429" spans="1:11" ht="13" x14ac:dyDescent="0.3">
      <c r="A429" s="91"/>
      <c r="B429" s="74"/>
      <c r="C429" s="74"/>
      <c r="D429" s="74"/>
      <c r="E429" s="74"/>
      <c r="F429" s="74"/>
      <c r="G429" s="74"/>
      <c r="H429" s="76"/>
      <c r="I429" s="76"/>
      <c r="J429" s="113"/>
    </row>
    <row r="430" spans="1:11" ht="13.5" thickBot="1" x14ac:dyDescent="0.35">
      <c r="A430" s="91"/>
      <c r="B430" s="74"/>
      <c r="C430" s="74"/>
      <c r="D430" s="74"/>
      <c r="E430" s="74"/>
      <c r="F430" s="74"/>
      <c r="G430" s="74"/>
      <c r="H430" s="112">
        <f>(+H428-G428)/G428</f>
        <v>1.4194341943419435</v>
      </c>
      <c r="I430" s="112">
        <f>(+I428-H428)/H428</f>
        <v>-0.39501779359430605</v>
      </c>
      <c r="J430" s="95"/>
    </row>
    <row r="431" spans="1:11" ht="13.5" thickTop="1" x14ac:dyDescent="0.3">
      <c r="A431" s="445"/>
      <c r="B431" s="120"/>
      <c r="C431" s="120"/>
      <c r="D431" s="120"/>
      <c r="E431" s="120"/>
      <c r="F431" s="120"/>
      <c r="G431" s="120"/>
      <c r="H431" s="120"/>
      <c r="I431" s="120"/>
      <c r="J431" s="95"/>
    </row>
    <row r="432" spans="1:11" ht="13.5" thickBot="1" x14ac:dyDescent="0.35">
      <c r="A432" s="448"/>
      <c r="B432" s="123"/>
      <c r="C432" s="123"/>
      <c r="D432" s="123"/>
      <c r="E432" s="123"/>
      <c r="F432" s="123"/>
      <c r="G432" s="123"/>
      <c r="H432" s="123"/>
      <c r="I432" s="123"/>
      <c r="J432" s="95"/>
    </row>
    <row r="433" spans="1:10" ht="13.5" thickTop="1" x14ac:dyDescent="0.3">
      <c r="A433" s="91"/>
      <c r="B433" s="74" t="s">
        <v>1</v>
      </c>
      <c r="C433" s="74"/>
      <c r="D433" s="74"/>
      <c r="E433" s="74"/>
      <c r="F433" s="74"/>
      <c r="G433" s="74"/>
      <c r="H433" s="74"/>
      <c r="I433" s="74"/>
      <c r="J433" s="95"/>
    </row>
    <row r="434" spans="1:10" ht="27.75" customHeight="1" x14ac:dyDescent="0.3">
      <c r="A434" s="91"/>
      <c r="B434" s="937" t="s">
        <v>517</v>
      </c>
      <c r="C434" s="938"/>
      <c r="D434" s="938"/>
      <c r="E434" s="938"/>
      <c r="F434" s="938"/>
      <c r="G434" s="939"/>
      <c r="H434" s="131" t="s">
        <v>242</v>
      </c>
      <c r="I434" s="131" t="s">
        <v>242</v>
      </c>
      <c r="J434" s="95"/>
    </row>
    <row r="435" spans="1:10" ht="13" x14ac:dyDescent="0.3">
      <c r="A435" s="91"/>
      <c r="B435" s="74" t="s">
        <v>1</v>
      </c>
      <c r="C435" s="74"/>
      <c r="D435" s="74"/>
      <c r="E435" s="74"/>
      <c r="F435" s="74"/>
      <c r="G435" s="74"/>
      <c r="H435" s="74"/>
      <c r="I435" s="74"/>
      <c r="J435" s="95"/>
    </row>
    <row r="436" spans="1:10" ht="13" x14ac:dyDescent="0.3">
      <c r="A436" s="91"/>
      <c r="B436" s="74" t="s">
        <v>1</v>
      </c>
      <c r="C436" s="74"/>
      <c r="D436" s="74"/>
      <c r="E436" s="74"/>
      <c r="F436" s="74"/>
      <c r="G436" s="74"/>
      <c r="H436" s="103" t="str">
        <f>+'Unit tariffs'!$F$11</f>
        <v>2026/2027</v>
      </c>
      <c r="I436" s="103" t="str">
        <f>+'Unit tariffs'!$F$11</f>
        <v>2026/2027</v>
      </c>
      <c r="J436" s="444" t="s">
        <v>313</v>
      </c>
    </row>
    <row r="437" spans="1:10" ht="13" x14ac:dyDescent="0.3">
      <c r="A437" s="91"/>
      <c r="B437" s="74"/>
      <c r="C437" s="74"/>
      <c r="D437" s="74"/>
      <c r="E437" s="74"/>
      <c r="F437" s="74"/>
      <c r="G437" s="74"/>
      <c r="H437" s="127"/>
      <c r="I437" s="127"/>
      <c r="J437" s="450"/>
    </row>
    <row r="438" spans="1:10" ht="13.5" thickBot="1" x14ac:dyDescent="0.35">
      <c r="A438" s="91"/>
      <c r="B438" s="74"/>
      <c r="C438" s="74"/>
      <c r="D438" s="74"/>
      <c r="E438" s="74"/>
      <c r="F438" s="74"/>
      <c r="G438" s="74"/>
      <c r="J438" s="450"/>
    </row>
    <row r="439" spans="1:10" ht="13.5" thickBot="1" x14ac:dyDescent="0.35">
      <c r="A439" s="91"/>
      <c r="B439" s="104" t="s">
        <v>117</v>
      </c>
      <c r="C439" s="74"/>
      <c r="D439" s="74"/>
      <c r="E439" s="74"/>
      <c r="F439" s="74"/>
      <c r="G439" s="74"/>
      <c r="H439" s="102" t="s">
        <v>239</v>
      </c>
      <c r="I439" s="102" t="s">
        <v>239</v>
      </c>
      <c r="J439" s="105"/>
    </row>
    <row r="440" spans="1:10" ht="13" x14ac:dyDescent="0.3">
      <c r="A440" s="91"/>
      <c r="B440" s="74">
        <v>3.5</v>
      </c>
      <c r="C440" s="74" t="str">
        <f>'Unit tariffs'!B131</f>
        <v>Primary Backbone - Urban</v>
      </c>
      <c r="D440" s="74"/>
      <c r="E440" s="74"/>
      <c r="F440" s="74" t="str">
        <f>'Unit tariffs'!C131</f>
        <v>per kVA</v>
      </c>
      <c r="G440" s="74"/>
      <c r="H440" s="76">
        <v>4446.4959000000008</v>
      </c>
      <c r="I440" s="76">
        <f>VLOOKUP($C440,'Unit tariffs'!B131:F134,5,FALSE)*$B440</f>
        <v>5024.2424517747004</v>
      </c>
      <c r="J440" s="105"/>
    </row>
    <row r="441" spans="1:10" ht="13" x14ac:dyDescent="0.3">
      <c r="A441" s="91"/>
      <c r="B441" s="74">
        <v>3.5</v>
      </c>
      <c r="C441" s="74" t="str">
        <f>'Unit tariffs'!B$133</f>
        <v>Secondary Backbone - LV Urban</v>
      </c>
      <c r="D441" s="74"/>
      <c r="E441" s="74"/>
      <c r="F441" s="74" t="str">
        <f>'Unit tariffs'!C$132</f>
        <v>per kVA</v>
      </c>
      <c r="G441" s="74"/>
      <c r="H441" s="76">
        <v>3829.4140500000012</v>
      </c>
      <c r="I441" s="76">
        <f>VLOOKUP($C441,'Unit tariffs'!$B$21:$F$158,5,FALSE)*$B441</f>
        <v>4326.9813057586516</v>
      </c>
      <c r="J441" s="105"/>
    </row>
    <row r="442" spans="1:10" ht="13" x14ac:dyDescent="0.3">
      <c r="A442" s="91"/>
      <c r="B442" s="74">
        <v>3.5</v>
      </c>
      <c r="C442" s="74" t="str">
        <f>'Unit tariffs'!B$134</f>
        <v>LV Backbone -Urban</v>
      </c>
      <c r="D442" s="74"/>
      <c r="E442" s="74"/>
      <c r="F442" s="74" t="str">
        <f>'Unit tariffs'!C$133</f>
        <v>per kVA</v>
      </c>
      <c r="G442" s="74"/>
      <c r="H442" s="81">
        <v>1592.9529000000002</v>
      </c>
      <c r="I442" s="81">
        <f>VLOOKUP($C442,'Unit tariffs'!$B$21:$F$158,5,FALSE)*$B442</f>
        <v>1799.9300491556999</v>
      </c>
      <c r="J442" s="105"/>
    </row>
    <row r="443" spans="1:10" ht="12" customHeight="1" x14ac:dyDescent="0.3">
      <c r="A443" s="91"/>
      <c r="B443" s="74"/>
      <c r="C443" s="74"/>
      <c r="D443" s="74"/>
      <c r="E443" s="74"/>
      <c r="F443" s="74"/>
      <c r="G443" s="74"/>
      <c r="H443" s="76">
        <v>9868.8628500000013</v>
      </c>
      <c r="I443" s="76">
        <f>SUM(I440:I442)</f>
        <v>11151.153806689053</v>
      </c>
      <c r="J443" s="105"/>
    </row>
    <row r="444" spans="1:10" ht="13" x14ac:dyDescent="0.3">
      <c r="A444" s="91"/>
      <c r="B444" s="74"/>
      <c r="C444" s="74"/>
      <c r="D444" s="74"/>
      <c r="E444" s="74"/>
      <c r="F444" s="74"/>
      <c r="G444" s="74"/>
      <c r="H444" s="76"/>
      <c r="I444" s="76"/>
      <c r="J444" s="95"/>
    </row>
    <row r="445" spans="1:10" ht="13" x14ac:dyDescent="0.3">
      <c r="A445" s="91"/>
      <c r="B445" s="104" t="s">
        <v>41</v>
      </c>
      <c r="C445" s="74"/>
      <c r="D445" s="74"/>
      <c r="E445" s="74"/>
      <c r="F445" s="74"/>
      <c r="G445" s="74"/>
      <c r="H445" s="74"/>
      <c r="I445" s="74"/>
      <c r="J445" s="95"/>
    </row>
    <row r="446" spans="1:10" ht="13" x14ac:dyDescent="0.3">
      <c r="A446" s="91"/>
      <c r="B446" s="74"/>
      <c r="C446" s="74"/>
      <c r="D446" s="74"/>
      <c r="E446" s="74"/>
      <c r="F446" s="74"/>
      <c r="G446" s="74"/>
      <c r="J446" s="105"/>
    </row>
    <row r="447" spans="1:10" ht="13" x14ac:dyDescent="0.3">
      <c r="A447" s="91"/>
      <c r="B447" s="74">
        <v>1</v>
      </c>
      <c r="C447" s="347" t="str">
        <f>'Unit tariffs'!B36</f>
        <v xml:space="preserve">Prepaid meter (Split) 3 phase - </v>
      </c>
      <c r="D447" s="74"/>
      <c r="E447" s="74"/>
      <c r="F447" s="74"/>
      <c r="G447" s="74"/>
      <c r="H447" s="189">
        <v>7323.5537155157153</v>
      </c>
      <c r="I447" s="189">
        <f>VLOOKUP($C447,'Unit tariffs'!$B$21:$F$123,5,FALSE)*$B447</f>
        <v>0</v>
      </c>
      <c r="J447" s="457" t="e">
        <f>IF(+I447*'Unit tariffs'!#REF!&gt;'Unit tariffs'!#REF!,'Unit tariffs'!#REF!,+I447*'Unit tariffs'!#REF!)</f>
        <v>#REF!</v>
      </c>
    </row>
    <row r="448" spans="1:10" ht="13" x14ac:dyDescent="0.3">
      <c r="A448" s="91"/>
      <c r="B448" s="74">
        <v>3</v>
      </c>
      <c r="C448" s="74" t="str">
        <f>'Unit tariffs'!B43</f>
        <v>x 80 A circuit breaker (5kA) - Orange</v>
      </c>
      <c r="D448" s="74"/>
      <c r="E448" s="74"/>
      <c r="F448" s="74"/>
      <c r="G448" s="74"/>
      <c r="H448" s="76">
        <v>587.413658244972</v>
      </c>
      <c r="I448" s="76">
        <f>VLOOKUP($C448,'Unit tariffs'!$B$21:$F$123,5,FALSE)*$B448</f>
        <v>0</v>
      </c>
      <c r="J448" s="457" t="e">
        <f>IF(+I448*'Unit tariffs'!#REF!&gt;'Unit tariffs'!#REF!,'Unit tariffs'!#REF!,+I448*'Unit tariffs'!#REF!)</f>
        <v>#REF!</v>
      </c>
    </row>
    <row r="449" spans="1:10" ht="13" x14ac:dyDescent="0.3">
      <c r="A449" s="91"/>
      <c r="B449" s="74">
        <v>1</v>
      </c>
      <c r="C449" s="74" t="str">
        <f>'Unit tariffs'!B72</f>
        <v>Cable clamp (Clampex) - K26</v>
      </c>
      <c r="D449" s="74"/>
      <c r="E449" s="74"/>
      <c r="F449" s="74"/>
      <c r="G449" s="74"/>
      <c r="H449" s="76">
        <v>34.833456142903692</v>
      </c>
      <c r="I449" s="76">
        <f>VLOOKUP($C449,'Unit tariffs'!$B$21:$F$123,5,FALSE)*$B449</f>
        <v>1423.2410081400001</v>
      </c>
      <c r="J449" s="457" t="e">
        <f>IF(+I449*'Unit tariffs'!#REF!&gt;'Unit tariffs'!#REF!,'Unit tariffs'!#REF!,+I449*'Unit tariffs'!#REF!)</f>
        <v>#REF!</v>
      </c>
    </row>
    <row r="450" spans="1:10" ht="13" x14ac:dyDescent="0.3">
      <c r="A450" s="91"/>
      <c r="B450" s="74">
        <v>1</v>
      </c>
      <c r="C450" s="74" t="str">
        <f>'Unit tariffs'!B21</f>
        <v>Installation material</v>
      </c>
      <c r="D450" s="74"/>
      <c r="E450" s="74"/>
      <c r="F450" s="74"/>
      <c r="G450" s="74"/>
      <c r="H450" s="81">
        <v>271.44100000000003</v>
      </c>
      <c r="I450" s="81">
        <f>VLOOKUP($C450,'Unit tariffs'!$B$21:$F$123,5,FALSE)*$B450</f>
        <v>282.48325</v>
      </c>
      <c r="J450" s="457" t="e">
        <f>IF(+I450*'Unit tariffs'!#REF!&gt;'Unit tariffs'!#REF!,'Unit tariffs'!#REF!,+I450*'Unit tariffs'!#REF!)</f>
        <v>#REF!</v>
      </c>
    </row>
    <row r="451" spans="1:10" ht="13" x14ac:dyDescent="0.3">
      <c r="A451" s="91"/>
      <c r="B451" s="74"/>
      <c r="C451" s="74"/>
      <c r="D451" s="74"/>
      <c r="E451" s="74"/>
      <c r="F451" s="74"/>
      <c r="G451" s="74"/>
      <c r="H451" s="76">
        <v>8217.2418299035908</v>
      </c>
      <c r="I451" s="76">
        <f>SUM(I447:I450)</f>
        <v>1705.7242581400001</v>
      </c>
      <c r="J451" s="95"/>
    </row>
    <row r="452" spans="1:10" ht="13" x14ac:dyDescent="0.3">
      <c r="A452" s="91"/>
      <c r="B452" s="104" t="s">
        <v>42</v>
      </c>
      <c r="C452" s="74"/>
      <c r="D452" s="74"/>
      <c r="E452" s="74"/>
      <c r="F452" s="74"/>
      <c r="G452" s="74"/>
      <c r="H452" s="74"/>
      <c r="I452" s="74"/>
      <c r="J452" s="95"/>
    </row>
    <row r="453" spans="1:10" ht="13" x14ac:dyDescent="0.3">
      <c r="A453" s="91"/>
      <c r="B453" s="74"/>
      <c r="C453" s="74"/>
      <c r="D453" s="74"/>
      <c r="E453" s="74"/>
      <c r="F453" s="74"/>
      <c r="G453" s="74"/>
      <c r="J453" s="105"/>
    </row>
    <row r="454" spans="1:10" ht="13" x14ac:dyDescent="0.3">
      <c r="A454" s="91"/>
      <c r="B454" s="74">
        <v>1</v>
      </c>
      <c r="C454" s="74" t="str">
        <f>'Unit tariffs'!B$87</f>
        <v xml:space="preserve">hour-artisan </v>
      </c>
      <c r="D454" s="74"/>
      <c r="E454" s="74"/>
      <c r="F454" s="74"/>
      <c r="G454" s="74"/>
      <c r="H454" s="76">
        <v>322.85223173076923</v>
      </c>
      <c r="I454" s="76">
        <f>VLOOKUP($C454,'Unit tariffs'!$B$21:$F$123,5,FALSE)*$B454</f>
        <v>351.19276615384621</v>
      </c>
      <c r="J454" s="105"/>
    </row>
    <row r="455" spans="1:10" ht="13" x14ac:dyDescent="0.3">
      <c r="A455" s="91"/>
      <c r="B455" s="74">
        <v>1</v>
      </c>
      <c r="C455" s="74" t="str">
        <f>'Unit tariffs'!B$85</f>
        <v>hour-artisan assistant</v>
      </c>
      <c r="D455" s="74"/>
      <c r="E455" s="74"/>
      <c r="F455" s="74"/>
      <c r="G455" s="74"/>
      <c r="H455" s="81">
        <v>128.53580769230771</v>
      </c>
      <c r="I455" s="81">
        <f>VLOOKUP($C455,'Unit tariffs'!$B$21:$F$123,5,FALSE)*$B455</f>
        <v>139.82425846153848</v>
      </c>
      <c r="J455" s="105"/>
    </row>
    <row r="456" spans="1:10" ht="13" x14ac:dyDescent="0.3">
      <c r="A456" s="91"/>
      <c r="B456" s="74"/>
      <c r="C456" s="74"/>
      <c r="D456" s="74"/>
      <c r="E456" s="74"/>
      <c r="F456" s="74"/>
      <c r="G456" s="74"/>
      <c r="H456" s="76">
        <v>451.38803942307698</v>
      </c>
      <c r="I456" s="76">
        <f>SUM(I454:I455)</f>
        <v>491.01702461538468</v>
      </c>
      <c r="J456" s="95"/>
    </row>
    <row r="457" spans="1:10" ht="13" x14ac:dyDescent="0.3">
      <c r="A457" s="91"/>
      <c r="B457" s="104" t="s">
        <v>43</v>
      </c>
      <c r="C457" s="74"/>
      <c r="D457" s="74"/>
      <c r="E457" s="74"/>
      <c r="F457" s="74"/>
      <c r="G457" s="74"/>
      <c r="H457" s="74"/>
      <c r="I457" s="74"/>
      <c r="J457" s="95"/>
    </row>
    <row r="458" spans="1:10" ht="13" x14ac:dyDescent="0.3">
      <c r="A458" s="91"/>
      <c r="B458" s="74"/>
      <c r="C458" s="74"/>
      <c r="D458" s="74"/>
      <c r="E458" s="74"/>
      <c r="F458" s="74"/>
      <c r="G458" s="74"/>
      <c r="H458" s="74"/>
      <c r="I458" s="74"/>
      <c r="J458" s="105"/>
    </row>
    <row r="459" spans="1:10" ht="13" x14ac:dyDescent="0.3">
      <c r="A459" s="91"/>
      <c r="B459" s="74">
        <v>24</v>
      </c>
      <c r="C459" s="74" t="str">
        <f>'Unit tariffs'!B$111</f>
        <v>km-truck with platform</v>
      </c>
      <c r="D459" s="74"/>
      <c r="E459" s="74"/>
      <c r="F459" s="74"/>
      <c r="G459" s="74"/>
      <c r="H459" s="76">
        <v>1010.8920834182238</v>
      </c>
      <c r="I459" s="76">
        <f>VLOOKUP($C459,'Unit tariffs'!$B$21:$F$123,5,FALSE)*$B459</f>
        <v>1182.7997218118533</v>
      </c>
      <c r="J459" s="105"/>
    </row>
    <row r="460" spans="1:10" ht="13" x14ac:dyDescent="0.3">
      <c r="A460" s="91"/>
      <c r="B460" s="74">
        <v>1</v>
      </c>
      <c r="C460" s="74" t="str">
        <f>'Unit tariffs'!B$112</f>
        <v>hour-truck with platform</v>
      </c>
      <c r="D460" s="74"/>
      <c r="E460" s="74"/>
      <c r="F460" s="74"/>
      <c r="G460" s="74"/>
      <c r="H460" s="81">
        <v>204.98441731167313</v>
      </c>
      <c r="I460" s="81">
        <f>VLOOKUP($C460,'Unit tariffs'!$B$21:$F$123,5,FALSE)*$B460</f>
        <v>239.8431204962792</v>
      </c>
      <c r="J460" s="105"/>
    </row>
    <row r="461" spans="1:10" ht="13.5" thickBot="1" x14ac:dyDescent="0.35">
      <c r="A461" s="91"/>
      <c r="B461" s="74"/>
      <c r="C461" s="74"/>
      <c r="D461" s="74"/>
      <c r="E461" s="74"/>
      <c r="F461" s="74"/>
      <c r="G461" s="74"/>
      <c r="H461" s="107">
        <v>1215.8765007298969</v>
      </c>
      <c r="I461" s="107">
        <f>SUM(I459:I460)</f>
        <v>1422.6428423081325</v>
      </c>
      <c r="J461" s="105"/>
    </row>
    <row r="462" spans="1:10" ht="13.5" thickTop="1" x14ac:dyDescent="0.3">
      <c r="A462" s="91"/>
      <c r="B462" s="74"/>
      <c r="C462" s="74"/>
      <c r="D462" s="74"/>
      <c r="E462" s="74"/>
      <c r="F462" s="74"/>
      <c r="G462" s="74"/>
      <c r="H462" s="76">
        <v>19753.369220056564</v>
      </c>
      <c r="I462" s="76">
        <f>+I461+I456+I451+I443</f>
        <v>14770.537931752571</v>
      </c>
      <c r="J462" s="105"/>
    </row>
    <row r="463" spans="1:10" ht="13.5" thickBot="1" x14ac:dyDescent="0.35">
      <c r="A463" s="91"/>
      <c r="B463" s="104" t="str">
        <f>'Unit tariffs'!$B$7</f>
        <v>Administration Levy (Indirect Cost)</v>
      </c>
      <c r="C463" s="74"/>
      <c r="D463" s="106">
        <f>'Unit tariffs'!$C$7</f>
        <v>0.1</v>
      </c>
      <c r="E463" s="74" t="s">
        <v>311</v>
      </c>
      <c r="F463" s="186">
        <f>+'Unit tariffs'!$F$7</f>
        <v>10000</v>
      </c>
      <c r="G463" s="74"/>
      <c r="H463" s="108">
        <v>1975.3369220056566</v>
      </c>
      <c r="I463" s="108">
        <f>IF(I462*$D463&gt;='Unit tariffs'!$E$7,'Unit tariffs'!$E$7,I462*$D463)</f>
        <v>1477.0537931752572</v>
      </c>
      <c r="J463" s="105"/>
    </row>
    <row r="464" spans="1:10" ht="13.5" thickTop="1" x14ac:dyDescent="0.3">
      <c r="A464" s="91"/>
      <c r="B464" s="104" t="s">
        <v>44</v>
      </c>
      <c r="C464" s="74"/>
      <c r="D464" s="74"/>
      <c r="E464" s="74"/>
      <c r="F464" s="74"/>
      <c r="G464" s="74"/>
      <c r="H464" s="109">
        <v>21728.706142062219</v>
      </c>
      <c r="I464" s="109">
        <f>SUM(I462:I463)</f>
        <v>16247.591724927828</v>
      </c>
      <c r="J464" s="95"/>
    </row>
    <row r="465" spans="1:10" ht="13" x14ac:dyDescent="0.3">
      <c r="A465" s="91"/>
      <c r="B465" s="74"/>
      <c r="C465" s="74"/>
      <c r="D465" s="74"/>
      <c r="E465" s="74"/>
      <c r="F465" s="74"/>
      <c r="G465" s="74"/>
      <c r="H465" s="74"/>
      <c r="I465" s="74"/>
      <c r="J465" s="110"/>
    </row>
    <row r="466" spans="1:10" ht="13" x14ac:dyDescent="0.3">
      <c r="A466" s="91"/>
      <c r="B466" s="104" t="s">
        <v>45</v>
      </c>
      <c r="C466" s="74"/>
      <c r="D466" s="74"/>
      <c r="E466" s="74"/>
      <c r="F466" s="74"/>
      <c r="G466" s="74"/>
      <c r="H466" s="84">
        <v>21730</v>
      </c>
      <c r="I466" s="84">
        <f>ROUND(I464,-1)</f>
        <v>16250</v>
      </c>
      <c r="J466" s="105"/>
    </row>
    <row r="467" spans="1:10" ht="13" x14ac:dyDescent="0.3">
      <c r="A467" s="91"/>
      <c r="B467" s="74"/>
      <c r="C467" s="74"/>
      <c r="D467" s="74"/>
      <c r="E467" s="74"/>
      <c r="F467" s="74"/>
      <c r="G467" s="74"/>
      <c r="H467" s="76"/>
      <c r="I467" s="76"/>
      <c r="J467" s="113"/>
    </row>
    <row r="468" spans="1:10" ht="13" x14ac:dyDescent="0.3">
      <c r="A468" s="91"/>
      <c r="B468" s="74"/>
      <c r="C468" s="74"/>
      <c r="D468" s="74"/>
      <c r="E468" s="74"/>
      <c r="F468" s="74"/>
      <c r="G468" s="74"/>
      <c r="H468" s="112" t="e">
        <v>#N/A</v>
      </c>
      <c r="I468" s="112">
        <f>(I466-H466)/H466</f>
        <v>-0.25218591808559593</v>
      </c>
      <c r="J468" s="113"/>
    </row>
    <row r="469" spans="1:10" ht="13" x14ac:dyDescent="0.3">
      <c r="A469" s="91"/>
      <c r="B469" s="74"/>
      <c r="C469" s="74"/>
      <c r="D469" s="74"/>
      <c r="E469" s="74"/>
      <c r="F469" s="74"/>
      <c r="G469" s="74"/>
      <c r="H469" s="112"/>
      <c r="I469" s="112"/>
      <c r="J469" s="113"/>
    </row>
    <row r="470" spans="1:10" ht="13.5" thickBot="1" x14ac:dyDescent="0.35">
      <c r="A470" s="448"/>
      <c r="B470" s="123"/>
      <c r="C470" s="123"/>
      <c r="D470" s="123"/>
      <c r="E470" s="123"/>
      <c r="F470" s="123"/>
      <c r="G470" s="123"/>
      <c r="H470" s="123"/>
      <c r="I470" s="123"/>
      <c r="J470" s="95"/>
    </row>
    <row r="471" spans="1:10" ht="13.5" thickTop="1" x14ac:dyDescent="0.3">
      <c r="A471" s="91"/>
      <c r="B471" s="74"/>
      <c r="C471" s="74"/>
      <c r="D471" s="74"/>
      <c r="E471" s="74"/>
      <c r="F471" s="74"/>
      <c r="G471" s="74"/>
      <c r="H471" s="74"/>
      <c r="I471" s="74"/>
      <c r="J471" s="95"/>
    </row>
    <row r="472" spans="1:10" ht="13" x14ac:dyDescent="0.3">
      <c r="A472" s="91"/>
      <c r="B472" s="74" t="s">
        <v>1</v>
      </c>
      <c r="C472" s="74"/>
      <c r="D472" s="74"/>
      <c r="E472" s="74"/>
      <c r="F472" s="74"/>
      <c r="G472" s="74"/>
      <c r="H472" s="100"/>
      <c r="I472" s="100"/>
      <c r="J472" s="95"/>
    </row>
    <row r="473" spans="1:10" ht="28.5" customHeight="1" x14ac:dyDescent="0.3">
      <c r="A473" s="91"/>
      <c r="B473" s="937" t="s">
        <v>518</v>
      </c>
      <c r="C473" s="938"/>
      <c r="D473" s="938"/>
      <c r="E473" s="938"/>
      <c r="F473" s="938"/>
      <c r="G473" s="939"/>
      <c r="H473" s="131" t="s">
        <v>576</v>
      </c>
      <c r="I473" s="131" t="s">
        <v>576</v>
      </c>
      <c r="J473" s="95"/>
    </row>
    <row r="474" spans="1:10" ht="13" x14ac:dyDescent="0.3">
      <c r="A474" s="91"/>
      <c r="B474" s="74" t="s">
        <v>1</v>
      </c>
      <c r="C474" s="74"/>
      <c r="D474" s="74"/>
      <c r="E474" s="74"/>
      <c r="F474" s="74"/>
      <c r="G474" s="74"/>
      <c r="H474" s="74"/>
      <c r="I474" s="74"/>
      <c r="J474" s="95"/>
    </row>
    <row r="475" spans="1:10" ht="13" x14ac:dyDescent="0.3">
      <c r="A475" s="91"/>
      <c r="B475" s="74" t="s">
        <v>1</v>
      </c>
      <c r="C475" s="74"/>
      <c r="D475" s="74"/>
      <c r="E475" s="74"/>
      <c r="F475" s="74"/>
      <c r="G475" s="74"/>
      <c r="H475" s="103" t="str">
        <f>+'Unit tariffs'!$F$11</f>
        <v>2026/2027</v>
      </c>
      <c r="I475" s="103" t="str">
        <f>+'Unit tariffs'!$F$11</f>
        <v>2026/2027</v>
      </c>
      <c r="J475" s="444" t="s">
        <v>313</v>
      </c>
    </row>
    <row r="476" spans="1:10" ht="13" x14ac:dyDescent="0.3">
      <c r="A476" s="91"/>
      <c r="B476" s="104" t="s">
        <v>117</v>
      </c>
      <c r="C476" s="74"/>
      <c r="D476" s="74"/>
      <c r="E476" s="74"/>
      <c r="F476" s="74"/>
      <c r="G476" s="74"/>
      <c r="H476" s="127"/>
      <c r="I476" s="127"/>
      <c r="J476" s="450"/>
    </row>
    <row r="477" spans="1:10" ht="13" x14ac:dyDescent="0.3">
      <c r="A477" s="91"/>
      <c r="B477" s="74" t="s">
        <v>118</v>
      </c>
      <c r="C477" s="74"/>
      <c r="D477" s="74"/>
      <c r="E477" s="74"/>
      <c r="F477" s="74"/>
      <c r="G477" s="74"/>
      <c r="H477" s="127"/>
      <c r="I477" s="127"/>
      <c r="J477" s="450"/>
    </row>
    <row r="478" spans="1:10" ht="13" x14ac:dyDescent="0.3">
      <c r="A478" s="91"/>
      <c r="B478" s="74">
        <v>2.5</v>
      </c>
      <c r="C478" s="74" t="str">
        <f>'Unit tariffs'!B$133</f>
        <v>Secondary Backbone - LV Urban</v>
      </c>
      <c r="D478" s="74"/>
      <c r="E478" s="74"/>
      <c r="F478" s="74" t="str">
        <f>'Unit tariffs'!C$132</f>
        <v>per kVA</v>
      </c>
      <c r="G478" s="74"/>
      <c r="H478" s="76">
        <v>2735.2957500000007</v>
      </c>
      <c r="I478" s="76">
        <f>VLOOKUP($C478,'Unit tariffs'!$B$21:$F$158,5,FALSE)*$B478</f>
        <v>3090.700932684751</v>
      </c>
      <c r="J478" s="105"/>
    </row>
    <row r="479" spans="1:10" ht="13" x14ac:dyDescent="0.3">
      <c r="A479" s="91"/>
      <c r="B479" s="74">
        <v>2.5</v>
      </c>
      <c r="C479" s="74" t="str">
        <f>'Unit tariffs'!B$134</f>
        <v>LV Backbone -Urban</v>
      </c>
      <c r="D479" s="74"/>
      <c r="E479" s="74"/>
      <c r="F479" s="74" t="str">
        <f>'Unit tariffs'!C$133</f>
        <v>per kVA</v>
      </c>
      <c r="G479" s="74"/>
      <c r="H479" s="81">
        <v>1137.8235</v>
      </c>
      <c r="I479" s="81">
        <f>VLOOKUP($C479,'Unit tariffs'!$B$21:$F$158,5,FALSE)*$B479</f>
        <v>1285.6643208255</v>
      </c>
      <c r="J479" s="105"/>
    </row>
    <row r="480" spans="1:10" ht="13" x14ac:dyDescent="0.3">
      <c r="A480" s="91"/>
      <c r="G480" s="74"/>
      <c r="H480" s="76">
        <v>3873.1192500000006</v>
      </c>
      <c r="I480" s="76">
        <f>SUM(I478:I479)</f>
        <v>4376.365253510251</v>
      </c>
      <c r="J480" s="105"/>
    </row>
    <row r="481" spans="1:10" ht="13" x14ac:dyDescent="0.3">
      <c r="A481" s="91"/>
      <c r="B481" s="74"/>
      <c r="C481" s="74"/>
      <c r="D481" s="74"/>
      <c r="E481" s="74"/>
      <c r="F481" s="74"/>
      <c r="G481" s="74"/>
      <c r="H481" s="76"/>
      <c r="I481" s="76"/>
      <c r="J481" s="105"/>
    </row>
    <row r="482" spans="1:10" ht="13" x14ac:dyDescent="0.3">
      <c r="A482" s="91"/>
      <c r="B482" s="104" t="s">
        <v>41</v>
      </c>
      <c r="C482" s="74"/>
      <c r="D482" s="74"/>
      <c r="E482" s="74"/>
      <c r="F482" s="74"/>
      <c r="G482" s="74"/>
      <c r="H482" s="74"/>
      <c r="I482" s="74"/>
      <c r="J482" s="95"/>
    </row>
    <row r="483" spans="1:10" ht="13" x14ac:dyDescent="0.3">
      <c r="A483" s="91"/>
      <c r="B483" s="74"/>
      <c r="C483" s="74"/>
      <c r="D483" s="74"/>
      <c r="E483" s="74"/>
      <c r="F483" s="74"/>
      <c r="G483" s="74"/>
      <c r="H483" s="74"/>
      <c r="I483" s="74"/>
      <c r="J483" s="95"/>
    </row>
    <row r="484" spans="1:10" ht="13" x14ac:dyDescent="0.3">
      <c r="A484" s="91"/>
      <c r="B484" s="74">
        <v>1</v>
      </c>
      <c r="C484" s="347" t="str">
        <f>'Unit tariffs'!B36</f>
        <v xml:space="preserve">Prepaid meter (Split) 3 phase - </v>
      </c>
      <c r="D484" s="74"/>
      <c r="E484" s="74"/>
      <c r="F484" s="74"/>
      <c r="G484" s="74"/>
      <c r="H484" s="189">
        <v>7323.5537155157153</v>
      </c>
      <c r="I484" s="189">
        <f>VLOOKUP($C484,'Unit tariffs'!$B$21:$F$123,5,FALSE)*$B484</f>
        <v>0</v>
      </c>
      <c r="J484" s="457" t="e">
        <f>IF(+I484*'Unit tariffs'!#REF!&gt;'Unit tariffs'!#REF!,'Unit tariffs'!#REF!,+I484*'Unit tariffs'!#REF!)</f>
        <v>#REF!</v>
      </c>
    </row>
    <row r="485" spans="1:10" ht="13" x14ac:dyDescent="0.3">
      <c r="A485" s="91"/>
      <c r="B485" s="74">
        <v>3</v>
      </c>
      <c r="C485" s="74" t="str">
        <f>'Unit tariffs'!B43</f>
        <v>x 80 A circuit breaker (5kA) - Orange</v>
      </c>
      <c r="D485" s="74"/>
      <c r="E485" s="74"/>
      <c r="F485" s="74"/>
      <c r="G485" s="74"/>
      <c r="H485" s="76">
        <v>587.413658244972</v>
      </c>
      <c r="I485" s="76">
        <f>VLOOKUP($C485,'Unit tariffs'!$B$21:$F$123,5,FALSE)*$B485</f>
        <v>0</v>
      </c>
      <c r="J485" s="457" t="e">
        <f>IF(+I485*'Unit tariffs'!#REF!&gt;'Unit tariffs'!#REF!,'Unit tariffs'!#REF!,+I485*'Unit tariffs'!#REF!)</f>
        <v>#REF!</v>
      </c>
    </row>
    <row r="486" spans="1:10" ht="13" x14ac:dyDescent="0.3">
      <c r="A486" s="91"/>
      <c r="B486" s="74">
        <v>1</v>
      </c>
      <c r="C486" s="74" t="str">
        <f>'Unit tariffs'!B72</f>
        <v>Cable clamp (Clampex) - K26</v>
      </c>
      <c r="D486" s="74"/>
      <c r="E486" s="74"/>
      <c r="F486" s="74"/>
      <c r="G486" s="74"/>
      <c r="H486" s="76">
        <v>34.833456142903692</v>
      </c>
      <c r="I486" s="76">
        <f>VLOOKUP($C486,'Unit tariffs'!$B$21:$F$123,5,FALSE)*$B486</f>
        <v>1423.2410081400001</v>
      </c>
      <c r="J486" s="457" t="e">
        <f>IF(+I486*'Unit tariffs'!#REF!&gt;'Unit tariffs'!#REF!,'Unit tariffs'!#REF!,+I486*'Unit tariffs'!#REF!)</f>
        <v>#REF!</v>
      </c>
    </row>
    <row r="487" spans="1:10" ht="13" x14ac:dyDescent="0.3">
      <c r="A487" s="91"/>
      <c r="B487" s="74">
        <v>1</v>
      </c>
      <c r="C487" s="74" t="str">
        <f>'Unit tariffs'!B21</f>
        <v>Installation material</v>
      </c>
      <c r="D487" s="74"/>
      <c r="E487" s="74"/>
      <c r="F487" s="74"/>
      <c r="G487" s="74"/>
      <c r="H487" s="81">
        <v>271.44100000000003</v>
      </c>
      <c r="I487" s="81">
        <f>VLOOKUP($C487,'Unit tariffs'!$B$21:$F$123,5,FALSE)*$B487</f>
        <v>282.48325</v>
      </c>
      <c r="J487" s="457" t="e">
        <f>IF(+I487*'Unit tariffs'!#REF!&gt;'Unit tariffs'!#REF!,'Unit tariffs'!#REF!,+I487*'Unit tariffs'!#REF!)</f>
        <v>#REF!</v>
      </c>
    </row>
    <row r="488" spans="1:10" ht="13" x14ac:dyDescent="0.3">
      <c r="A488" s="91"/>
      <c r="B488" s="74"/>
      <c r="C488" s="74"/>
      <c r="D488" s="74"/>
      <c r="E488" s="74"/>
      <c r="F488" s="74"/>
      <c r="G488" s="74"/>
      <c r="H488" s="76">
        <v>8217.2418299035908</v>
      </c>
      <c r="I488" s="76">
        <f>SUM(I484:I487)</f>
        <v>1705.7242581400001</v>
      </c>
      <c r="J488" s="105"/>
    </row>
    <row r="489" spans="1:10" ht="13" x14ac:dyDescent="0.3">
      <c r="A489" s="91"/>
      <c r="B489" s="104" t="s">
        <v>42</v>
      </c>
      <c r="C489" s="74"/>
      <c r="D489" s="74"/>
      <c r="E489" s="74"/>
      <c r="F489" s="74"/>
      <c r="G489" s="74"/>
      <c r="H489" s="74"/>
      <c r="I489" s="74"/>
      <c r="J489" s="95"/>
    </row>
    <row r="490" spans="1:10" ht="13" x14ac:dyDescent="0.3">
      <c r="A490" s="91"/>
      <c r="B490" s="74"/>
      <c r="C490" s="74"/>
      <c r="D490" s="74"/>
      <c r="E490" s="74"/>
      <c r="F490" s="74"/>
      <c r="G490" s="74"/>
      <c r="H490" s="74"/>
      <c r="I490" s="74"/>
      <c r="J490" s="95"/>
    </row>
    <row r="491" spans="1:10" ht="13" x14ac:dyDescent="0.3">
      <c r="A491" s="91"/>
      <c r="B491" s="74">
        <v>1</v>
      </c>
      <c r="C491" s="74" t="str">
        <f>'Unit tariffs'!B$87</f>
        <v xml:space="preserve">hour-artisan </v>
      </c>
      <c r="D491" s="74"/>
      <c r="E491" s="74"/>
      <c r="F491" s="74"/>
      <c r="G491" s="74"/>
      <c r="H491" s="76">
        <v>322.85223173076923</v>
      </c>
      <c r="I491" s="76">
        <f>VLOOKUP($C491,'Unit tariffs'!$B$21:$F$123,5,FALSE)*$B491</f>
        <v>351.19276615384621</v>
      </c>
      <c r="J491" s="105"/>
    </row>
    <row r="492" spans="1:10" ht="13" x14ac:dyDescent="0.3">
      <c r="A492" s="91"/>
      <c r="B492" s="74">
        <v>1</v>
      </c>
      <c r="C492" s="74" t="str">
        <f>'Unit tariffs'!B$85</f>
        <v>hour-artisan assistant</v>
      </c>
      <c r="D492" s="74"/>
      <c r="E492" s="74"/>
      <c r="F492" s="74"/>
      <c r="G492" s="74"/>
      <c r="H492" s="81">
        <v>128.53580769230771</v>
      </c>
      <c r="I492" s="81">
        <f>VLOOKUP($C492,'Unit tariffs'!$B$21:$F$123,5,FALSE)*$B492</f>
        <v>139.82425846153848</v>
      </c>
      <c r="J492" s="105"/>
    </row>
    <row r="493" spans="1:10" ht="13" x14ac:dyDescent="0.3">
      <c r="A493" s="91"/>
      <c r="B493" s="74"/>
      <c r="C493" s="74"/>
      <c r="D493" s="74"/>
      <c r="E493" s="74"/>
      <c r="F493" s="74"/>
      <c r="G493" s="74"/>
      <c r="H493" s="76">
        <v>451.38803942307698</v>
      </c>
      <c r="I493" s="76">
        <f>SUM(I491:I492)</f>
        <v>491.01702461538468</v>
      </c>
      <c r="J493" s="105"/>
    </row>
    <row r="494" spans="1:10" ht="13" x14ac:dyDescent="0.3">
      <c r="A494" s="91"/>
      <c r="B494" s="104" t="s">
        <v>43</v>
      </c>
      <c r="C494" s="74"/>
      <c r="D494" s="74"/>
      <c r="E494" s="74"/>
      <c r="F494" s="74"/>
      <c r="G494" s="74"/>
      <c r="H494" s="74"/>
      <c r="I494" s="74"/>
      <c r="J494" s="95"/>
    </row>
    <row r="495" spans="1:10" ht="13" x14ac:dyDescent="0.3">
      <c r="A495" s="91"/>
      <c r="B495" s="74"/>
      <c r="C495" s="74"/>
      <c r="D495" s="74"/>
      <c r="E495" s="74"/>
      <c r="F495" s="74"/>
      <c r="G495" s="74"/>
      <c r="H495" s="74"/>
      <c r="I495" s="74"/>
      <c r="J495" s="95"/>
    </row>
    <row r="496" spans="1:10" ht="13" x14ac:dyDescent="0.3">
      <c r="A496" s="91"/>
      <c r="B496" s="74">
        <v>24</v>
      </c>
      <c r="C496" s="74" t="str">
        <f>'Unit tariffs'!B$111</f>
        <v>km-truck with platform</v>
      </c>
      <c r="D496" s="74"/>
      <c r="E496" s="74"/>
      <c r="F496" s="74"/>
      <c r="G496" s="74"/>
      <c r="H496" s="76">
        <v>1010.8920834182238</v>
      </c>
      <c r="I496" s="76">
        <f>VLOOKUP($C496,'Unit tariffs'!$B$21:$F$123,5,FALSE)*$B496</f>
        <v>1182.7997218118533</v>
      </c>
      <c r="J496" s="105"/>
    </row>
    <row r="497" spans="1:10" ht="13" x14ac:dyDescent="0.3">
      <c r="A497" s="91"/>
      <c r="B497" s="74">
        <v>1</v>
      </c>
      <c r="C497" s="74" t="str">
        <f>'Unit tariffs'!B$112</f>
        <v>hour-truck with platform</v>
      </c>
      <c r="D497" s="74"/>
      <c r="E497" s="74"/>
      <c r="F497" s="74"/>
      <c r="G497" s="74"/>
      <c r="H497" s="81">
        <v>204.98441731167313</v>
      </c>
      <c r="I497" s="81">
        <f>VLOOKUP($C497,'Unit tariffs'!$B$21:$F$123,5,FALSE)*$B497</f>
        <v>239.8431204962792</v>
      </c>
      <c r="J497" s="105"/>
    </row>
    <row r="498" spans="1:10" ht="13.5" thickBot="1" x14ac:dyDescent="0.35">
      <c r="A498" s="91"/>
      <c r="B498" s="74"/>
      <c r="C498" s="74"/>
      <c r="D498" s="74"/>
      <c r="E498" s="74"/>
      <c r="F498" s="74"/>
      <c r="G498" s="74"/>
      <c r="H498" s="107">
        <v>1215.8765007298969</v>
      </c>
      <c r="I498" s="107">
        <f>SUM(I496:I497)</f>
        <v>1422.6428423081325</v>
      </c>
      <c r="J498" s="105"/>
    </row>
    <row r="499" spans="1:10" ht="13.5" thickTop="1" x14ac:dyDescent="0.3">
      <c r="A499" s="91"/>
      <c r="B499" s="74"/>
      <c r="C499" s="74"/>
      <c r="D499" s="74"/>
      <c r="E499" s="74"/>
      <c r="F499" s="74"/>
      <c r="G499" s="74"/>
      <c r="H499" s="76">
        <v>13757.625620056566</v>
      </c>
      <c r="I499" s="76">
        <f>+I498+I493+I488+I480</f>
        <v>7995.7493785737679</v>
      </c>
      <c r="J499" s="105"/>
    </row>
    <row r="500" spans="1:10" ht="13.5" thickBot="1" x14ac:dyDescent="0.35">
      <c r="A500" s="91"/>
      <c r="B500" s="104" t="str">
        <f>'Unit tariffs'!$B$7</f>
        <v>Administration Levy (Indirect Cost)</v>
      </c>
      <c r="C500" s="74"/>
      <c r="D500" s="106">
        <f>'Unit tariffs'!$C$7</f>
        <v>0.1</v>
      </c>
      <c r="E500" s="74" t="s">
        <v>311</v>
      </c>
      <c r="F500" s="186">
        <f>+'Unit tariffs'!$F$7</f>
        <v>10000</v>
      </c>
      <c r="G500" s="74"/>
      <c r="H500" s="108">
        <v>1375.7625620056567</v>
      </c>
      <c r="I500" s="108">
        <f>IF(I499*$D500&gt;='Unit tariffs'!$E$7,'Unit tariffs'!$E$7,I499*$D500)</f>
        <v>799.57493785737688</v>
      </c>
      <c r="J500" s="105"/>
    </row>
    <row r="501" spans="1:10" ht="13.5" thickTop="1" x14ac:dyDescent="0.3">
      <c r="A501" s="91"/>
      <c r="B501" s="104" t="s">
        <v>44</v>
      </c>
      <c r="C501" s="74"/>
      <c r="D501" s="74"/>
      <c r="E501" s="74"/>
      <c r="F501" s="74"/>
      <c r="G501" s="74"/>
      <c r="H501" s="109">
        <v>15133.388182062223</v>
      </c>
      <c r="I501" s="109">
        <f>SUM(I499:I500)</f>
        <v>8795.3243164311443</v>
      </c>
      <c r="J501" s="105"/>
    </row>
    <row r="502" spans="1:10" ht="13" x14ac:dyDescent="0.3">
      <c r="A502" s="91"/>
      <c r="B502" s="74"/>
      <c r="C502" s="74"/>
      <c r="D502" s="74"/>
      <c r="E502" s="74"/>
      <c r="F502" s="74"/>
      <c r="G502" s="74"/>
      <c r="H502" s="74"/>
      <c r="I502" s="74"/>
      <c r="J502" s="95"/>
    </row>
    <row r="503" spans="1:10" ht="13" x14ac:dyDescent="0.3">
      <c r="A503" s="91"/>
      <c r="B503" s="104" t="s">
        <v>45</v>
      </c>
      <c r="C503" s="74"/>
      <c r="D503" s="74"/>
      <c r="E503" s="74"/>
      <c r="F503" s="74"/>
      <c r="G503" s="74"/>
      <c r="H503" s="84">
        <v>15130</v>
      </c>
      <c r="I503" s="84">
        <f>ROUND(I501,-1)</f>
        <v>8800</v>
      </c>
      <c r="J503" s="110"/>
    </row>
    <row r="504" spans="1:10" ht="13.5" thickBot="1" x14ac:dyDescent="0.35">
      <c r="A504" s="448"/>
      <c r="B504" s="796"/>
      <c r="C504" s="123"/>
      <c r="D504" s="123"/>
      <c r="E504" s="123"/>
      <c r="F504" s="123"/>
      <c r="G504" s="123"/>
      <c r="H504" s="797"/>
      <c r="I504" s="797"/>
      <c r="J504" s="110"/>
    </row>
    <row r="505" spans="1:10" ht="13.5" thickTop="1" x14ac:dyDescent="0.3">
      <c r="A505" s="91"/>
      <c r="B505" s="104"/>
      <c r="C505" s="74"/>
      <c r="D505" s="74"/>
      <c r="E505" s="74"/>
      <c r="F505" s="74"/>
      <c r="G505" s="74"/>
      <c r="H505" s="84"/>
      <c r="I505" s="84"/>
      <c r="J505" s="110"/>
    </row>
    <row r="506" spans="1:10" ht="32.25" customHeight="1" x14ac:dyDescent="0.3">
      <c r="A506" s="91"/>
      <c r="B506" s="937" t="s">
        <v>637</v>
      </c>
      <c r="C506" s="938"/>
      <c r="D506" s="938"/>
      <c r="E506" s="938"/>
      <c r="F506" s="938"/>
      <c r="G506" s="939"/>
      <c r="H506" s="132" t="s">
        <v>638</v>
      </c>
      <c r="I506" s="132" t="s">
        <v>638</v>
      </c>
      <c r="J506" s="95"/>
    </row>
    <row r="507" spans="1:10" ht="13" x14ac:dyDescent="0.3">
      <c r="A507" s="91"/>
      <c r="B507" s="122"/>
      <c r="C507" s="74"/>
      <c r="D507" s="74"/>
      <c r="E507" s="74" t="s">
        <v>1</v>
      </c>
      <c r="F507" s="74"/>
      <c r="G507" s="74"/>
      <c r="H507" s="74"/>
      <c r="I507" s="74"/>
      <c r="J507" s="95"/>
    </row>
    <row r="508" spans="1:10" ht="13" x14ac:dyDescent="0.3">
      <c r="A508" s="91"/>
      <c r="B508" s="74" t="s">
        <v>1</v>
      </c>
      <c r="C508" s="74"/>
      <c r="D508" s="74"/>
      <c r="E508" s="74"/>
      <c r="F508" s="74"/>
      <c r="G508" s="74"/>
      <c r="H508" s="74"/>
      <c r="I508" s="74"/>
      <c r="J508" s="95"/>
    </row>
    <row r="509" spans="1:10" ht="13" x14ac:dyDescent="0.3">
      <c r="A509" s="91"/>
      <c r="B509" s="74"/>
      <c r="C509" s="74"/>
      <c r="D509" s="74"/>
      <c r="E509" s="74"/>
      <c r="F509" s="74"/>
      <c r="G509" s="74"/>
      <c r="H509" s="103" t="str">
        <f>+'Unit tariffs'!$F$11</f>
        <v>2026/2027</v>
      </c>
      <c r="I509" s="103" t="str">
        <f>+'Unit tariffs'!$F$11</f>
        <v>2026/2027</v>
      </c>
      <c r="J509" s="444" t="s">
        <v>313</v>
      </c>
    </row>
    <row r="510" spans="1:10" ht="13" x14ac:dyDescent="0.3">
      <c r="A510" s="91"/>
      <c r="B510" s="104" t="s">
        <v>117</v>
      </c>
      <c r="C510" s="74"/>
      <c r="D510" s="74"/>
      <c r="E510" s="74"/>
      <c r="F510" s="74"/>
      <c r="G510" s="74"/>
      <c r="H510" s="74"/>
      <c r="I510" s="74"/>
      <c r="J510" s="450"/>
    </row>
    <row r="511" spans="1:10" ht="13" x14ac:dyDescent="0.3">
      <c r="A511" s="91"/>
      <c r="B511" s="74" t="s">
        <v>118</v>
      </c>
      <c r="C511" s="74"/>
      <c r="D511" s="74"/>
      <c r="E511" s="74"/>
      <c r="F511" s="74"/>
      <c r="G511" s="74"/>
      <c r="H511" s="74"/>
      <c r="I511" s="74"/>
      <c r="J511" s="450"/>
    </row>
    <row r="512" spans="1:10" ht="13" x14ac:dyDescent="0.3">
      <c r="A512" s="91"/>
      <c r="B512" s="74">
        <f>3.5</f>
        <v>3.5</v>
      </c>
      <c r="C512" s="74" t="str">
        <f>'Unit tariffs'!B$131</f>
        <v>Primary Backbone - Urban</v>
      </c>
      <c r="D512" s="74"/>
      <c r="E512" s="74"/>
      <c r="F512" s="74" t="str">
        <f>'Unit tariffs'!C$131</f>
        <v>per kVA</v>
      </c>
      <c r="G512" s="74"/>
      <c r="H512" s="76">
        <v>4446.4959000000008</v>
      </c>
      <c r="I512" s="76">
        <f>VLOOKUP($C512,'Unit tariffs'!$B$21:$F$155,5,FALSE)*$B512</f>
        <v>5024.2424517747004</v>
      </c>
      <c r="J512" s="455"/>
    </row>
    <row r="513" spans="1:10" ht="13" x14ac:dyDescent="0.3">
      <c r="A513" s="91"/>
      <c r="B513" s="74">
        <v>3.5</v>
      </c>
      <c r="C513" s="74" t="str">
        <f>'Unit tariffs'!B$133</f>
        <v>Secondary Backbone - LV Urban</v>
      </c>
      <c r="D513" s="74"/>
      <c r="E513" s="74"/>
      <c r="F513" s="74" t="str">
        <f>'Unit tariffs'!C$132</f>
        <v>per kVA</v>
      </c>
      <c r="G513" s="74"/>
      <c r="H513" s="76">
        <v>3829.4140500000012</v>
      </c>
      <c r="I513" s="76">
        <f>VLOOKUP($C513,'Unit tariffs'!$B$21:$F$155,5,FALSE)*$B513</f>
        <v>4326.9813057586516</v>
      </c>
      <c r="J513" s="455"/>
    </row>
    <row r="514" spans="1:10" ht="13" x14ac:dyDescent="0.3">
      <c r="A514" s="91"/>
      <c r="B514" s="74">
        <v>3.5</v>
      </c>
      <c r="C514" s="74" t="str">
        <f>'Unit tariffs'!B$134</f>
        <v>LV Backbone -Urban</v>
      </c>
      <c r="D514" s="74"/>
      <c r="E514" s="74"/>
      <c r="F514" s="74" t="str">
        <f>'Unit tariffs'!C$133</f>
        <v>per kVA</v>
      </c>
      <c r="G514" s="74"/>
      <c r="H514" s="81">
        <v>1592.9529000000002</v>
      </c>
      <c r="I514" s="81">
        <f>VLOOKUP($C514,'Unit tariffs'!$B$21:$F$155,5,FALSE)*$B514</f>
        <v>1799.9300491556999</v>
      </c>
      <c r="J514" s="455"/>
    </row>
    <row r="515" spans="1:10" ht="13" x14ac:dyDescent="0.3">
      <c r="A515" s="91"/>
      <c r="B515" s="74"/>
      <c r="C515" s="74"/>
      <c r="D515" s="74"/>
      <c r="E515" s="74"/>
      <c r="F515" s="74"/>
      <c r="G515" s="74"/>
      <c r="H515" s="76">
        <v>9868.8628500000013</v>
      </c>
      <c r="I515" s="76">
        <f>SUM(I512:I514)</f>
        <v>11151.153806689053</v>
      </c>
      <c r="J515" s="455"/>
    </row>
    <row r="516" spans="1:10" ht="13" x14ac:dyDescent="0.3">
      <c r="A516" s="91"/>
      <c r="B516" s="74"/>
      <c r="C516" s="74"/>
      <c r="D516" s="74"/>
      <c r="E516" s="74"/>
      <c r="F516" s="74"/>
      <c r="G516" s="74"/>
      <c r="H516" s="76"/>
      <c r="I516" s="76"/>
      <c r="J516" s="455"/>
    </row>
    <row r="517" spans="1:10" ht="13" x14ac:dyDescent="0.3">
      <c r="A517" s="91"/>
      <c r="B517" s="104" t="s">
        <v>41</v>
      </c>
      <c r="C517" s="74"/>
      <c r="D517" s="74"/>
      <c r="E517" s="74"/>
      <c r="F517" s="74"/>
      <c r="G517" s="74"/>
      <c r="H517" s="76"/>
      <c r="I517" s="76"/>
      <c r="J517" s="455"/>
    </row>
    <row r="518" spans="1:10" ht="14.5" x14ac:dyDescent="0.35">
      <c r="A518" s="91"/>
      <c r="B518" s="74">
        <v>1</v>
      </c>
      <c r="C518" s="705" t="str">
        <f>'Unit tariffs'!B46</f>
        <v>METER: TIME OF USE 100 AMP</v>
      </c>
      <c r="D518" s="74"/>
      <c r="E518" s="74"/>
      <c r="F518" s="74"/>
      <c r="G518" s="74"/>
      <c r="H518" s="76">
        <v>5538.1406043608804</v>
      </c>
      <c r="I518" s="76">
        <f>VLOOKUP(C518,'Unit tariffs'!B21:F123,5,FALSE)*$B518</f>
        <v>0</v>
      </c>
      <c r="J518" s="457" t="e">
        <f>IF(+I518*'Unit tariffs'!#REF!&gt;'Unit tariffs'!#REF!,'Unit tariffs'!#REF!,+I518*'Unit tariffs'!#REF!)</f>
        <v>#REF!</v>
      </c>
    </row>
    <row r="519" spans="1:10" ht="13" x14ac:dyDescent="0.3">
      <c r="A519" s="91"/>
      <c r="B519" s="74">
        <v>1</v>
      </c>
      <c r="C519" s="74" t="str">
        <f>+'Unit tariffs'!B47</f>
        <v>Modum for TOU meter</v>
      </c>
      <c r="D519" s="74"/>
      <c r="E519" s="74"/>
      <c r="F519" s="74"/>
      <c r="G519" s="74"/>
      <c r="H519" s="76">
        <v>3707.5418271871995</v>
      </c>
      <c r="I519" s="76">
        <f>VLOOKUP($C519,'Unit tariffs'!$B$21:$F$123,5,FALSE)*$B519</f>
        <v>338.07595359999993</v>
      </c>
      <c r="J519" s="457" t="e">
        <f>IF(+I519*'Unit tariffs'!#REF!&gt;'Unit tariffs'!#REF!,'Unit tariffs'!#REF!,+I519*'Unit tariffs'!#REF!)</f>
        <v>#REF!</v>
      </c>
    </row>
    <row r="520" spans="1:10" ht="13" x14ac:dyDescent="0.3">
      <c r="A520" s="91"/>
      <c r="B520" s="74">
        <v>3</v>
      </c>
      <c r="C520" s="74" t="str">
        <f>'Unit tariffs'!B43</f>
        <v>x 80 A circuit breaker (5kA) - Orange</v>
      </c>
      <c r="D520" s="74"/>
      <c r="E520" s="74"/>
      <c r="F520" s="74"/>
      <c r="G520" s="74"/>
      <c r="H520" s="76">
        <v>587.413658244972</v>
      </c>
      <c r="I520" s="76">
        <f>VLOOKUP($C520,'Unit tariffs'!$B$21:$F$123,5,FALSE)*$B520</f>
        <v>0</v>
      </c>
      <c r="J520" s="457" t="e">
        <f>IF(+I520*'Unit tariffs'!#REF!&gt;'Unit tariffs'!#REF!,'Unit tariffs'!#REF!,+I520*'Unit tariffs'!#REF!)</f>
        <v>#REF!</v>
      </c>
    </row>
    <row r="521" spans="1:10" ht="13" x14ac:dyDescent="0.3">
      <c r="A521" s="91"/>
      <c r="B521" s="74">
        <v>1</v>
      </c>
      <c r="C521" s="74" t="str">
        <f>'Unit tariffs'!B21</f>
        <v>Installation material</v>
      </c>
      <c r="D521" s="74"/>
      <c r="E521" s="74"/>
      <c r="F521" s="74"/>
      <c r="G521" s="74"/>
      <c r="H521" s="81">
        <v>271.44100000000003</v>
      </c>
      <c r="I521" s="81">
        <f>VLOOKUP($C521,'Unit tariffs'!$B$21:$F$123,5,FALSE)*$B521</f>
        <v>282.48325</v>
      </c>
      <c r="J521" s="457" t="e">
        <f>IF(+I521*'Unit tariffs'!#REF!&gt;'Unit tariffs'!#REF!,'Unit tariffs'!#REF!,+I521*'Unit tariffs'!#REF!)</f>
        <v>#REF!</v>
      </c>
    </row>
    <row r="522" spans="1:10" ht="13" x14ac:dyDescent="0.3">
      <c r="A522" s="91"/>
      <c r="B522" s="74"/>
      <c r="C522" s="74"/>
      <c r="D522" s="74"/>
      <c r="E522" s="74"/>
      <c r="F522" s="74"/>
      <c r="G522" s="76"/>
      <c r="H522" s="76">
        <v>10104.537089793053</v>
      </c>
      <c r="I522" s="76">
        <f>SUM(I518:I521)</f>
        <v>620.55920359999993</v>
      </c>
      <c r="J522" s="455"/>
    </row>
    <row r="523" spans="1:10" ht="13" x14ac:dyDescent="0.3">
      <c r="A523" s="91"/>
      <c r="B523" s="74"/>
      <c r="C523" s="74"/>
      <c r="D523" s="74"/>
      <c r="E523" s="74"/>
      <c r="F523" s="74"/>
      <c r="G523" s="76"/>
      <c r="H523" s="76"/>
      <c r="I523" s="76"/>
      <c r="J523" s="455"/>
    </row>
    <row r="524" spans="1:10" ht="13" x14ac:dyDescent="0.3">
      <c r="A524" s="91"/>
      <c r="B524" s="104" t="s">
        <v>42</v>
      </c>
      <c r="C524" s="74"/>
      <c r="D524" s="74"/>
      <c r="E524" s="74"/>
      <c r="F524" s="74"/>
      <c r="G524" s="74"/>
      <c r="J524" s="455"/>
    </row>
    <row r="525" spans="1:10" ht="13" x14ac:dyDescent="0.3">
      <c r="A525" s="91"/>
      <c r="B525" s="74"/>
      <c r="C525" s="74"/>
      <c r="D525" s="74"/>
      <c r="E525" s="74"/>
      <c r="F525" s="74"/>
      <c r="G525" s="74"/>
      <c r="J525" s="455"/>
    </row>
    <row r="526" spans="1:10" ht="13" x14ac:dyDescent="0.3">
      <c r="A526" s="91"/>
      <c r="B526" s="74">
        <v>2</v>
      </c>
      <c r="C526" s="74" t="str">
        <f>'Unit tariffs'!B$87</f>
        <v xml:space="preserve">hour-artisan </v>
      </c>
      <c r="D526" s="74"/>
      <c r="E526" s="74"/>
      <c r="F526" s="74"/>
      <c r="G526" s="74"/>
      <c r="H526" s="76">
        <v>645.70446346153847</v>
      </c>
      <c r="I526" s="76">
        <f>VLOOKUP($C526,'Unit tariffs'!$B$21:$F$123,5,FALSE)*$B526</f>
        <v>702.38553230769242</v>
      </c>
      <c r="J526" s="455"/>
    </row>
    <row r="527" spans="1:10" ht="13" x14ac:dyDescent="0.3">
      <c r="A527" s="91"/>
      <c r="B527" s="74">
        <f>+B526*2</f>
        <v>4</v>
      </c>
      <c r="C527" s="74" t="str">
        <f>'Unit tariffs'!B$85</f>
        <v>hour-artisan assistant</v>
      </c>
      <c r="D527" s="74"/>
      <c r="E527" s="74"/>
      <c r="F527" s="74"/>
      <c r="G527" s="74"/>
      <c r="H527" s="81">
        <v>514.14323076923085</v>
      </c>
      <c r="I527" s="81">
        <f>VLOOKUP($C527,'Unit tariffs'!$B$21:$F$123,5,FALSE)*$B527</f>
        <v>559.29703384615391</v>
      </c>
      <c r="J527" s="455"/>
    </row>
    <row r="528" spans="1:10" ht="13" x14ac:dyDescent="0.3">
      <c r="A528" s="91"/>
      <c r="B528" s="74"/>
      <c r="C528" s="74"/>
      <c r="D528" s="74"/>
      <c r="E528" s="74"/>
      <c r="F528" s="74"/>
      <c r="G528" s="74"/>
      <c r="H528" s="76">
        <v>1159.8476942307693</v>
      </c>
      <c r="I528" s="76">
        <f>SUM(I526:I527)</f>
        <v>1261.6825661538464</v>
      </c>
      <c r="J528" s="455"/>
    </row>
    <row r="529" spans="1:10" ht="13" x14ac:dyDescent="0.3">
      <c r="A529" s="91"/>
      <c r="B529" s="104" t="s">
        <v>43</v>
      </c>
      <c r="C529" s="74"/>
      <c r="D529" s="74"/>
      <c r="E529" s="74"/>
      <c r="F529" s="74"/>
      <c r="G529" s="74"/>
      <c r="J529" s="455"/>
    </row>
    <row r="530" spans="1:10" ht="13" x14ac:dyDescent="0.3">
      <c r="A530" s="91"/>
      <c r="B530" s="74"/>
      <c r="C530" s="74"/>
      <c r="D530" s="74"/>
      <c r="E530" s="74"/>
      <c r="F530" s="74"/>
      <c r="G530" s="74"/>
      <c r="J530" s="455"/>
    </row>
    <row r="531" spans="1:10" ht="13" x14ac:dyDescent="0.3">
      <c r="A531" s="91"/>
      <c r="B531" s="74">
        <v>24</v>
      </c>
      <c r="C531" s="74" t="str">
        <f>'Unit tariffs'!B$111</f>
        <v>km-truck with platform</v>
      </c>
      <c r="D531" s="74"/>
      <c r="E531" s="74"/>
      <c r="F531" s="74"/>
      <c r="G531" s="74"/>
      <c r="H531" s="76">
        <v>1010.8920834182238</v>
      </c>
      <c r="I531" s="76">
        <f>VLOOKUP($C531,'Unit tariffs'!$B$21:$F$123,5,FALSE)*$B531</f>
        <v>1182.7997218118533</v>
      </c>
      <c r="J531" s="455"/>
    </row>
    <row r="532" spans="1:10" ht="13" x14ac:dyDescent="0.3">
      <c r="A532" s="91"/>
      <c r="B532" s="74">
        <v>0.5</v>
      </c>
      <c r="C532" s="74" t="str">
        <f>'Unit tariffs'!B$112</f>
        <v>hour-truck with platform</v>
      </c>
      <c r="D532" s="74"/>
      <c r="E532" s="74"/>
      <c r="F532" s="74"/>
      <c r="G532" s="74"/>
      <c r="H532" s="81">
        <v>102.49220865583656</v>
      </c>
      <c r="I532" s="81">
        <f>VLOOKUP($C532,'Unit tariffs'!$B$21:$F$123,5,FALSE)*$B532</f>
        <v>119.9215602481396</v>
      </c>
      <c r="J532" s="455"/>
    </row>
    <row r="533" spans="1:10" ht="13.5" thickBot="1" x14ac:dyDescent="0.35">
      <c r="A533" s="91"/>
      <c r="B533" s="74"/>
      <c r="C533" s="74"/>
      <c r="D533" s="74"/>
      <c r="E533" s="74"/>
      <c r="F533" s="74"/>
      <c r="G533" s="74"/>
      <c r="H533" s="107">
        <v>1113.3842920740603</v>
      </c>
      <c r="I533" s="107">
        <f>SUM(I531:I532)</f>
        <v>1302.721282059993</v>
      </c>
      <c r="J533" s="455"/>
    </row>
    <row r="534" spans="1:10" ht="13.5" thickTop="1" x14ac:dyDescent="0.3">
      <c r="A534" s="91"/>
      <c r="B534" s="74"/>
      <c r="C534" s="74"/>
      <c r="D534" s="74"/>
      <c r="E534" s="74"/>
      <c r="F534" s="74"/>
      <c r="G534" s="76"/>
      <c r="H534" s="76">
        <v>22246.631926097885</v>
      </c>
      <c r="I534" s="76">
        <f>+I533+I528+I522+I515</f>
        <v>14336.116858502894</v>
      </c>
      <c r="J534" s="455"/>
    </row>
    <row r="535" spans="1:10" ht="13.5" thickBot="1" x14ac:dyDescent="0.35">
      <c r="A535" s="91"/>
      <c r="B535" s="104" t="str">
        <f>'Unit tariffs'!$B$7</f>
        <v>Administration Levy (Indirect Cost)</v>
      </c>
      <c r="C535" s="74"/>
      <c r="D535" s="106">
        <f>'Unit tariffs'!$C$7</f>
        <v>0.1</v>
      </c>
      <c r="E535" s="74" t="s">
        <v>311</v>
      </c>
      <c r="F535" s="186">
        <f>+'Unit tariffs'!$F$7</f>
        <v>10000</v>
      </c>
      <c r="G535" s="76"/>
      <c r="H535" s="108">
        <v>2224.6631926097884</v>
      </c>
      <c r="I535" s="108">
        <f>IF(I534*$D535&gt;='Unit tariffs'!$E$7,'Unit tariffs'!$E$7,I534*$D535)</f>
        <v>1433.6116858502894</v>
      </c>
      <c r="J535" s="455"/>
    </row>
    <row r="536" spans="1:10" ht="13.5" thickTop="1" x14ac:dyDescent="0.3">
      <c r="A536" s="91"/>
      <c r="B536" s="104" t="s">
        <v>44</v>
      </c>
      <c r="C536" s="74"/>
      <c r="D536" s="74"/>
      <c r="E536" s="74"/>
      <c r="F536" s="74"/>
      <c r="G536" s="76"/>
      <c r="H536" s="109">
        <v>24471.295118707672</v>
      </c>
      <c r="I536" s="109">
        <f>SUM(I534:I535)</f>
        <v>15769.728544353184</v>
      </c>
      <c r="J536" s="455"/>
    </row>
    <row r="537" spans="1:10" ht="13" x14ac:dyDescent="0.3">
      <c r="A537" s="91"/>
      <c r="B537" s="104"/>
      <c r="C537" s="74"/>
      <c r="D537" s="74"/>
      <c r="E537" s="74"/>
      <c r="F537" s="74"/>
      <c r="G537" s="76"/>
      <c r="H537" s="74"/>
      <c r="I537" s="74"/>
      <c r="J537" s="455"/>
    </row>
    <row r="538" spans="1:10" ht="13" x14ac:dyDescent="0.3">
      <c r="A538" s="91"/>
      <c r="B538" s="104" t="s">
        <v>45</v>
      </c>
      <c r="C538" s="74"/>
      <c r="D538" s="74"/>
      <c r="E538" s="74"/>
      <c r="F538" s="74"/>
      <c r="G538" s="74"/>
      <c r="H538" s="84">
        <v>24470</v>
      </c>
      <c r="I538" s="84">
        <f>ROUND(I536,-1)</f>
        <v>15770</v>
      </c>
      <c r="J538" s="455"/>
    </row>
    <row r="539" spans="1:10" ht="13" x14ac:dyDescent="0.3">
      <c r="A539" s="91"/>
      <c r="B539" s="74"/>
      <c r="C539" s="74"/>
      <c r="D539" s="74"/>
      <c r="E539" s="74"/>
      <c r="F539" s="74"/>
      <c r="G539" s="74"/>
      <c r="H539" s="76"/>
      <c r="I539" s="76"/>
      <c r="J539" s="455"/>
    </row>
    <row r="540" spans="1:10" ht="13" x14ac:dyDescent="0.3">
      <c r="A540" s="91"/>
      <c r="B540" s="74"/>
      <c r="C540" s="74"/>
      <c r="D540" s="74"/>
      <c r="E540" s="74"/>
      <c r="F540" s="74"/>
      <c r="G540" s="74"/>
      <c r="H540" s="112">
        <v>0.31065881092662023</v>
      </c>
      <c r="I540" s="112">
        <f>(+I538-H538)/H538</f>
        <v>-0.35553739272578666</v>
      </c>
      <c r="J540" s="113"/>
    </row>
    <row r="541" spans="1:10" ht="13" x14ac:dyDescent="0.3">
      <c r="A541" s="91"/>
      <c r="B541" s="74"/>
      <c r="C541" s="74"/>
      <c r="D541" s="74"/>
      <c r="E541" s="74"/>
      <c r="F541" s="74"/>
      <c r="G541" s="74"/>
      <c r="H541" s="112"/>
      <c r="I541" s="112"/>
      <c r="J541" s="113"/>
    </row>
    <row r="542" spans="1:10" ht="13.5" thickBot="1" x14ac:dyDescent="0.35">
      <c r="A542" s="448"/>
      <c r="B542" s="796"/>
      <c r="C542" s="123"/>
      <c r="D542" s="123"/>
      <c r="E542" s="123"/>
      <c r="F542" s="123"/>
      <c r="G542" s="123"/>
      <c r="H542" s="797"/>
      <c r="I542" s="797"/>
      <c r="J542" s="110"/>
    </row>
    <row r="543" spans="1:10" ht="41.25" customHeight="1" thickTop="1" x14ac:dyDescent="0.3">
      <c r="A543" s="91"/>
      <c r="B543" s="937" t="s">
        <v>639</v>
      </c>
      <c r="C543" s="938"/>
      <c r="D543" s="938"/>
      <c r="E543" s="938"/>
      <c r="F543" s="938"/>
      <c r="G543" s="939"/>
      <c r="H543" s="131" t="s">
        <v>577</v>
      </c>
      <c r="I543" s="131" t="s">
        <v>577</v>
      </c>
      <c r="J543" s="95"/>
    </row>
    <row r="544" spans="1:10" ht="13" x14ac:dyDescent="0.3">
      <c r="A544" s="91"/>
      <c r="B544" s="74" t="s">
        <v>1</v>
      </c>
      <c r="C544" s="74"/>
      <c r="D544" s="74"/>
      <c r="E544" s="74"/>
      <c r="F544" s="74"/>
      <c r="G544" s="74"/>
      <c r="H544" s="103" t="str">
        <f>+'Unit tariffs'!$F$11</f>
        <v>2026/2027</v>
      </c>
      <c r="I544" s="103" t="str">
        <f>+'Unit tariffs'!$F$11</f>
        <v>2026/2027</v>
      </c>
      <c r="J544" s="444" t="s">
        <v>313</v>
      </c>
    </row>
    <row r="545" spans="1:11" ht="13.5" thickBot="1" x14ac:dyDescent="0.35">
      <c r="A545" s="91"/>
      <c r="B545" s="74"/>
      <c r="C545" s="74"/>
      <c r="D545" s="74"/>
      <c r="E545" s="74"/>
      <c r="F545" s="74"/>
      <c r="G545" s="74"/>
      <c r="H545" s="127"/>
      <c r="I545" s="127"/>
      <c r="J545" s="450"/>
    </row>
    <row r="546" spans="1:11" ht="13.5" thickBot="1" x14ac:dyDescent="0.35">
      <c r="A546" s="91"/>
      <c r="B546" s="74"/>
      <c r="C546" s="74"/>
      <c r="D546" s="74"/>
      <c r="E546" s="74"/>
      <c r="F546" s="74"/>
      <c r="G546" s="74"/>
      <c r="H546" s="345" t="s">
        <v>239</v>
      </c>
      <c r="I546" s="345" t="s">
        <v>239</v>
      </c>
      <c r="J546" s="450"/>
    </row>
    <row r="547" spans="1:11" ht="13" x14ac:dyDescent="0.3">
      <c r="A547" s="91"/>
      <c r="B547" s="104" t="s">
        <v>117</v>
      </c>
      <c r="C547" s="74"/>
      <c r="D547" s="74"/>
      <c r="E547" s="74"/>
      <c r="F547" s="74"/>
      <c r="G547" s="74"/>
      <c r="H547" s="76"/>
      <c r="I547" s="76"/>
      <c r="J547" s="450"/>
    </row>
    <row r="548" spans="1:11" ht="13" x14ac:dyDescent="0.3">
      <c r="A548" s="91"/>
      <c r="B548" s="74" t="s">
        <v>118</v>
      </c>
      <c r="C548" s="74"/>
      <c r="D548" s="74"/>
      <c r="E548" s="74"/>
      <c r="F548" s="74"/>
      <c r="G548" s="74"/>
      <c r="J548" s="105"/>
    </row>
    <row r="549" spans="1:11" ht="13" x14ac:dyDescent="0.3">
      <c r="A549" s="91"/>
      <c r="B549" s="74">
        <v>3.5</v>
      </c>
      <c r="C549" s="74" t="str">
        <f>'Unit tariffs'!B$133</f>
        <v>Secondary Backbone - LV Urban</v>
      </c>
      <c r="D549" s="74"/>
      <c r="E549" s="74"/>
      <c r="F549" s="74" t="str">
        <f>'Unit tariffs'!C$132</f>
        <v>per kVA</v>
      </c>
      <c r="G549" s="74"/>
      <c r="H549" s="76">
        <v>3829.4140500000012</v>
      </c>
      <c r="I549" s="76">
        <f>VLOOKUP($C549,'Unit tariffs'!$B$21:$F$158,5,FALSE)*$B549</f>
        <v>4326.9813057586516</v>
      </c>
      <c r="J549" s="105"/>
    </row>
    <row r="550" spans="1:11" ht="13" x14ac:dyDescent="0.3">
      <c r="A550" s="91"/>
      <c r="B550" s="74">
        <v>3.5</v>
      </c>
      <c r="C550" s="74" t="str">
        <f>'Unit tariffs'!B$134</f>
        <v>LV Backbone -Urban</v>
      </c>
      <c r="D550" s="74"/>
      <c r="E550" s="74"/>
      <c r="F550" s="74" t="str">
        <f>'Unit tariffs'!C$133</f>
        <v>per kVA</v>
      </c>
      <c r="G550" s="74"/>
      <c r="H550" s="81">
        <v>1592.9529000000002</v>
      </c>
      <c r="I550" s="81">
        <f>VLOOKUP($C550,'Unit tariffs'!$B$21:$F$158,5,FALSE)*$B550</f>
        <v>1799.9300491556999</v>
      </c>
      <c r="J550" s="105"/>
    </row>
    <row r="551" spans="1:11" ht="13" x14ac:dyDescent="0.3">
      <c r="A551" s="91"/>
      <c r="B551" s="74"/>
      <c r="C551" s="74"/>
      <c r="D551" s="74"/>
      <c r="E551" s="74"/>
      <c r="F551" s="74"/>
      <c r="G551" s="74"/>
      <c r="H551" s="76">
        <v>5422.3669500000015</v>
      </c>
      <c r="I551" s="76">
        <f>SUM(I549:I550)</f>
        <v>6126.9113549143513</v>
      </c>
      <c r="J551" s="105"/>
    </row>
    <row r="552" spans="1:11" ht="13" x14ac:dyDescent="0.3">
      <c r="A552" s="91" t="s">
        <v>231</v>
      </c>
      <c r="B552" s="104" t="s">
        <v>41</v>
      </c>
      <c r="C552" s="74"/>
      <c r="D552" s="74"/>
      <c r="E552" s="74"/>
      <c r="F552" s="74"/>
      <c r="G552" s="74"/>
      <c r="H552" s="76"/>
      <c r="I552" s="76"/>
      <c r="J552" s="95"/>
    </row>
    <row r="553" spans="1:11" ht="14.5" x14ac:dyDescent="0.35">
      <c r="A553" s="91"/>
      <c r="B553" s="74">
        <v>1</v>
      </c>
      <c r="C553" s="705" t="str">
        <f>'Unit tariffs'!B46</f>
        <v>METER: TIME OF USE 100 AMP</v>
      </c>
      <c r="D553" s="74"/>
      <c r="E553" s="74"/>
      <c r="F553" s="74"/>
      <c r="G553" s="74"/>
      <c r="H553" s="76">
        <v>5538.1406043608804</v>
      </c>
      <c r="I553" s="76">
        <f>VLOOKUP($C553,'Unit tariffs'!$B$21:$F$123,5,FALSE)*$B553</f>
        <v>0</v>
      </c>
      <c r="J553" s="457" t="e">
        <f>IF(+I553*'Unit tariffs'!#REF!&gt;'Unit tariffs'!#REF!,'Unit tariffs'!#REF!,+I553*'Unit tariffs'!#REF!)</f>
        <v>#REF!</v>
      </c>
      <c r="K553" s="344"/>
    </row>
    <row r="554" spans="1:11" ht="13" x14ac:dyDescent="0.3">
      <c r="A554" s="91"/>
      <c r="B554" s="74">
        <v>1</v>
      </c>
      <c r="C554" s="74" t="str">
        <f>+'Unit tariffs'!B47</f>
        <v>Modum for TOU meter</v>
      </c>
      <c r="D554" s="74"/>
      <c r="E554" s="74"/>
      <c r="F554" s="74"/>
      <c r="G554" s="74"/>
      <c r="H554" s="76">
        <v>3707.5418271871995</v>
      </c>
      <c r="I554" s="76">
        <f>VLOOKUP($C554,'Unit tariffs'!$B$21:$F$123,5,FALSE)*$B554</f>
        <v>338.07595359999993</v>
      </c>
      <c r="J554" s="457" t="e">
        <f>IF(+I554*'Unit tariffs'!#REF!&gt;'Unit tariffs'!#REF!,'Unit tariffs'!#REF!,+I554*'Unit tariffs'!#REF!)</f>
        <v>#REF!</v>
      </c>
      <c r="K554" s="344"/>
    </row>
    <row r="555" spans="1:11" ht="13" x14ac:dyDescent="0.3">
      <c r="A555" s="91"/>
      <c r="B555" s="74">
        <v>3</v>
      </c>
      <c r="C555" s="74" t="str">
        <f>'Unit tariffs'!B43</f>
        <v>x 80 A circuit breaker (5kA) - Orange</v>
      </c>
      <c r="D555" s="74"/>
      <c r="E555" s="74"/>
      <c r="F555" s="74"/>
      <c r="G555" s="74"/>
      <c r="H555" s="76">
        <v>587.413658244972</v>
      </c>
      <c r="I555" s="76">
        <f>VLOOKUP($C555,'Unit tariffs'!$B$21:$F$123,5,FALSE)*$B555</f>
        <v>0</v>
      </c>
      <c r="J555" s="457" t="e">
        <f>IF(+I555*'Unit tariffs'!#REF!&gt;'Unit tariffs'!#REF!,'Unit tariffs'!#REF!,+I555*'Unit tariffs'!#REF!)</f>
        <v>#REF!</v>
      </c>
      <c r="K555" s="344"/>
    </row>
    <row r="556" spans="1:11" ht="13" x14ac:dyDescent="0.3">
      <c r="A556" s="91"/>
      <c r="B556" s="74">
        <v>1</v>
      </c>
      <c r="C556" s="74" t="str">
        <f>'Unit tariffs'!B72</f>
        <v>Cable clamp (Clampex) - K26</v>
      </c>
      <c r="D556" s="74"/>
      <c r="E556" s="74"/>
      <c r="F556" s="74"/>
      <c r="G556" s="74"/>
      <c r="H556" s="76">
        <v>34.833456142903692</v>
      </c>
      <c r="I556" s="76">
        <f>VLOOKUP($C556,'Unit tariffs'!$B$21:$F$123,5,FALSE)*$B556</f>
        <v>1423.2410081400001</v>
      </c>
      <c r="J556" s="457" t="e">
        <f>IF(+I556*'Unit tariffs'!#REF!&gt;'Unit tariffs'!#REF!,'Unit tariffs'!#REF!,+I556*'Unit tariffs'!#REF!)</f>
        <v>#REF!</v>
      </c>
      <c r="K556" s="344"/>
    </row>
    <row r="557" spans="1:11" ht="13" x14ac:dyDescent="0.3">
      <c r="A557" s="91"/>
      <c r="B557" s="74">
        <v>1</v>
      </c>
      <c r="C557" s="74" t="str">
        <f>'Unit tariffs'!B21</f>
        <v>Installation material</v>
      </c>
      <c r="D557" s="74"/>
      <c r="E557" s="74"/>
      <c r="F557" s="74"/>
      <c r="G557" s="74"/>
      <c r="H557" s="81">
        <v>271.44100000000003</v>
      </c>
      <c r="I557" s="81">
        <f>VLOOKUP($C557,'Unit tariffs'!$B$21:$F$123,5,FALSE)*$B557</f>
        <v>282.48325</v>
      </c>
      <c r="J557" s="457" t="e">
        <f>IF(+I557*'Unit tariffs'!#REF!&gt;'Unit tariffs'!#REF!,'Unit tariffs'!#REF!,+I557*'Unit tariffs'!#REF!)</f>
        <v>#REF!</v>
      </c>
      <c r="K557" s="344"/>
    </row>
    <row r="558" spans="1:11" ht="13" x14ac:dyDescent="0.3">
      <c r="A558" s="91"/>
      <c r="B558" s="74"/>
      <c r="C558" s="74"/>
      <c r="D558" s="74"/>
      <c r="E558" s="74"/>
      <c r="F558" s="74"/>
      <c r="G558" s="76"/>
      <c r="H558" s="76">
        <v>10139.370545935957</v>
      </c>
      <c r="I558" s="76">
        <f>SUM(I553:I557)</f>
        <v>2043.8002117399999</v>
      </c>
      <c r="J558" s="95"/>
    </row>
    <row r="559" spans="1:11" ht="13" x14ac:dyDescent="0.3">
      <c r="A559" s="91"/>
      <c r="B559" s="104" t="s">
        <v>42</v>
      </c>
      <c r="C559" s="74"/>
      <c r="D559" s="74"/>
      <c r="E559" s="74"/>
      <c r="F559" s="74"/>
      <c r="G559" s="74"/>
      <c r="H559" s="74"/>
      <c r="I559" s="74"/>
      <c r="J559" s="95"/>
    </row>
    <row r="560" spans="1:11" ht="13" x14ac:dyDescent="0.3">
      <c r="A560" s="91"/>
      <c r="B560" s="74">
        <v>2</v>
      </c>
      <c r="C560" s="74" t="str">
        <f>'Unit tariffs'!B$87</f>
        <v xml:space="preserve">hour-artisan </v>
      </c>
      <c r="D560" s="74"/>
      <c r="E560" s="74"/>
      <c r="F560" s="74"/>
      <c r="G560" s="74"/>
      <c r="H560" s="76">
        <v>645.70446346153847</v>
      </c>
      <c r="I560" s="76">
        <f>VLOOKUP($C560,'Unit tariffs'!$B$21:$F$123,5,FALSE)*$B560</f>
        <v>702.38553230769242</v>
      </c>
      <c r="J560" s="105"/>
    </row>
    <row r="561" spans="1:11" ht="13" x14ac:dyDescent="0.3">
      <c r="A561" s="91"/>
      <c r="B561" s="74">
        <f>+B560*1</f>
        <v>2</v>
      </c>
      <c r="C561" s="74" t="str">
        <f>'Unit tariffs'!B$85</f>
        <v>hour-artisan assistant</v>
      </c>
      <c r="D561" s="74"/>
      <c r="E561" s="74"/>
      <c r="F561" s="74"/>
      <c r="G561" s="74"/>
      <c r="H561" s="81">
        <v>257.07161538461543</v>
      </c>
      <c r="I561" s="81">
        <f>VLOOKUP($C561,'Unit tariffs'!$B$21:$F$123,5,FALSE)*$B561</f>
        <v>279.64851692307695</v>
      </c>
      <c r="J561" s="105"/>
    </row>
    <row r="562" spans="1:11" ht="13" x14ac:dyDescent="0.3">
      <c r="A562" s="91"/>
      <c r="B562" s="74"/>
      <c r="C562" s="74"/>
      <c r="D562" s="74"/>
      <c r="E562" s="74"/>
      <c r="F562" s="74"/>
      <c r="G562" s="74"/>
      <c r="H562" s="76">
        <v>902.77607884615395</v>
      </c>
      <c r="I562" s="76">
        <f>SUM(I560:J561)</f>
        <v>982.03404923076937</v>
      </c>
      <c r="J562" s="95"/>
    </row>
    <row r="563" spans="1:11" ht="13" x14ac:dyDescent="0.3">
      <c r="A563" s="91"/>
      <c r="B563" s="104" t="s">
        <v>43</v>
      </c>
      <c r="C563" s="74"/>
      <c r="D563" s="74"/>
      <c r="E563" s="74"/>
      <c r="F563" s="74"/>
      <c r="G563" s="74"/>
      <c r="H563" s="74"/>
      <c r="I563" s="74"/>
      <c r="J563" s="95"/>
    </row>
    <row r="564" spans="1:11" ht="13" x14ac:dyDescent="0.3">
      <c r="A564" s="91"/>
      <c r="B564" s="74">
        <v>24</v>
      </c>
      <c r="C564" s="74" t="str">
        <f>'Unit tariffs'!B$111</f>
        <v>km-truck with platform</v>
      </c>
      <c r="D564" s="74"/>
      <c r="E564" s="74"/>
      <c r="F564" s="74"/>
      <c r="G564" s="74"/>
      <c r="H564" s="76">
        <v>1010.8920834182238</v>
      </c>
      <c r="I564" s="76">
        <f>VLOOKUP($C564,'Unit tariffs'!$B$21:$F$123,5,FALSE)*$B564</f>
        <v>1182.7997218118533</v>
      </c>
      <c r="J564" s="105"/>
    </row>
    <row r="565" spans="1:11" ht="13" x14ac:dyDescent="0.3">
      <c r="A565" s="91"/>
      <c r="B565" s="74">
        <f>+B560</f>
        <v>2</v>
      </c>
      <c r="C565" s="74" t="str">
        <f>'Unit tariffs'!B$112</f>
        <v>hour-truck with platform</v>
      </c>
      <c r="D565" s="74"/>
      <c r="E565" s="74"/>
      <c r="F565" s="74"/>
      <c r="G565" s="74"/>
      <c r="H565" s="81">
        <v>409.96883462334625</v>
      </c>
      <c r="I565" s="81">
        <f>VLOOKUP($C565,'Unit tariffs'!$B$21:$F$123,5,FALSE)*$B565</f>
        <v>479.6862409925584</v>
      </c>
      <c r="J565" s="105"/>
    </row>
    <row r="566" spans="1:11" ht="13.5" thickBot="1" x14ac:dyDescent="0.35">
      <c r="A566" s="91"/>
      <c r="B566" s="74"/>
      <c r="C566" s="74"/>
      <c r="D566" s="74"/>
      <c r="E566" s="74"/>
      <c r="F566" s="74"/>
      <c r="G566" s="74"/>
      <c r="H566" s="107">
        <v>1420.8609180415701</v>
      </c>
      <c r="I566" s="107">
        <f>SUM(I564:I565)</f>
        <v>1662.4859628044117</v>
      </c>
      <c r="J566" s="105"/>
    </row>
    <row r="567" spans="1:11" ht="13.5" thickTop="1" x14ac:dyDescent="0.3">
      <c r="A567" s="91"/>
      <c r="B567" s="74"/>
      <c r="C567" s="74"/>
      <c r="D567" s="74"/>
      <c r="E567" s="74"/>
      <c r="F567" s="74"/>
      <c r="G567" s="76"/>
      <c r="H567" s="76">
        <v>17885.374492823685</v>
      </c>
      <c r="I567" s="76">
        <f>+I566+I562+I558+I551</f>
        <v>10815.231578689532</v>
      </c>
      <c r="J567" s="105"/>
    </row>
    <row r="568" spans="1:11" ht="13.5" thickBot="1" x14ac:dyDescent="0.35">
      <c r="A568" s="91"/>
      <c r="B568" s="104" t="str">
        <f>'Unit tariffs'!$B$7</f>
        <v>Administration Levy (Indirect Cost)</v>
      </c>
      <c r="C568" s="74"/>
      <c r="D568" s="106">
        <f>'Unit tariffs'!$C$7</f>
        <v>0.1</v>
      </c>
      <c r="E568" s="74" t="s">
        <v>311</v>
      </c>
      <c r="F568" s="186">
        <f>+'Unit tariffs'!$F$7</f>
        <v>10000</v>
      </c>
      <c r="G568" s="76"/>
      <c r="H568" s="108">
        <v>1788.5374492823685</v>
      </c>
      <c r="I568" s="108">
        <f>IF(I567*$D568&gt;='Unit tariffs'!$E$7,'Unit tariffs'!$E$7,I567*$D568)</f>
        <v>1081.5231578689534</v>
      </c>
      <c r="J568" s="105"/>
    </row>
    <row r="569" spans="1:11" ht="13.5" thickTop="1" x14ac:dyDescent="0.3">
      <c r="A569" s="91"/>
      <c r="B569" s="104" t="s">
        <v>44</v>
      </c>
      <c r="C569" s="74"/>
      <c r="D569" s="74"/>
      <c r="E569" s="74"/>
      <c r="F569" s="74"/>
      <c r="G569" s="76"/>
      <c r="H569" s="109">
        <v>19673.911942106053</v>
      </c>
      <c r="I569" s="109">
        <f>SUM(I567:I568)</f>
        <v>11896.754736558485</v>
      </c>
      <c r="J569" s="105"/>
    </row>
    <row r="570" spans="1:11" ht="13" x14ac:dyDescent="0.3">
      <c r="A570" s="91"/>
      <c r="B570" s="104"/>
      <c r="C570" s="74"/>
      <c r="D570" s="74"/>
      <c r="E570" s="74"/>
      <c r="F570" s="74"/>
      <c r="G570" s="76"/>
      <c r="H570" s="74"/>
      <c r="I570" s="74"/>
      <c r="J570" s="110"/>
    </row>
    <row r="571" spans="1:11" ht="13" x14ac:dyDescent="0.3">
      <c r="A571" s="91"/>
      <c r="B571" s="104" t="s">
        <v>45</v>
      </c>
      <c r="C571" s="74"/>
      <c r="D571" s="74"/>
      <c r="E571" s="74"/>
      <c r="F571" s="74"/>
      <c r="G571" s="84">
        <v>8130</v>
      </c>
      <c r="H571" s="84">
        <v>19670</v>
      </c>
      <c r="I571" s="84">
        <f>ROUND(I569,-1)</f>
        <v>11900</v>
      </c>
      <c r="J571" s="105"/>
      <c r="K571" s="111"/>
    </row>
    <row r="572" spans="1:11" ht="13" x14ac:dyDescent="0.3">
      <c r="A572" s="91"/>
      <c r="B572" s="74"/>
      <c r="C572" s="74"/>
      <c r="D572" s="74"/>
      <c r="E572" s="74"/>
      <c r="F572" s="74"/>
      <c r="G572" s="74"/>
      <c r="J572" s="113"/>
    </row>
    <row r="573" spans="1:11" ht="13.75" customHeight="1" x14ac:dyDescent="0.3">
      <c r="A573" s="74"/>
      <c r="B573" s="104"/>
      <c r="C573" s="74"/>
      <c r="D573" s="74"/>
      <c r="E573" s="74"/>
      <c r="F573" s="74"/>
      <c r="G573" s="74"/>
      <c r="H573" s="112">
        <v>0</v>
      </c>
      <c r="I573" s="112">
        <f>(I503-H503)/H503</f>
        <v>-0.41837409120951752</v>
      </c>
      <c r="J573" s="110"/>
    </row>
    <row r="574" spans="1:11" ht="13.75" customHeight="1" thickBot="1" x14ac:dyDescent="0.35">
      <c r="A574" s="123"/>
      <c r="B574" s="796"/>
      <c r="C574" s="123"/>
      <c r="D574" s="123"/>
      <c r="E574" s="123"/>
      <c r="F574" s="123"/>
      <c r="G574" s="123"/>
      <c r="H574" s="130"/>
      <c r="I574" s="130"/>
      <c r="J574" s="110"/>
    </row>
    <row r="575" spans="1:11" ht="14" thickTop="1" thickBot="1" x14ac:dyDescent="0.35">
      <c r="A575" s="803"/>
      <c r="B575" s="804"/>
      <c r="C575" s="804"/>
      <c r="D575" s="804"/>
      <c r="E575" s="804"/>
      <c r="F575" s="804"/>
      <c r="G575" s="804"/>
      <c r="H575" s="804"/>
      <c r="I575" s="804"/>
      <c r="J575" s="95"/>
    </row>
    <row r="576" spans="1:11" ht="13.5" thickTop="1" x14ac:dyDescent="0.3">
      <c r="A576" s="91"/>
      <c r="B576" s="74"/>
      <c r="C576" s="74"/>
      <c r="D576" s="74"/>
      <c r="E576" s="74"/>
      <c r="F576" s="74"/>
      <c r="G576" s="74"/>
      <c r="H576" s="74"/>
      <c r="I576" s="74"/>
      <c r="J576" s="95"/>
    </row>
    <row r="577" spans="1:12" ht="18.75" customHeight="1" x14ac:dyDescent="0.3">
      <c r="A577" s="91"/>
      <c r="B577" s="937" t="s">
        <v>237</v>
      </c>
      <c r="C577" s="938"/>
      <c r="D577" s="938"/>
      <c r="E577" s="938"/>
      <c r="F577" s="938"/>
      <c r="G577" s="939"/>
      <c r="H577" s="74"/>
      <c r="I577" s="74"/>
      <c r="J577" s="95"/>
    </row>
    <row r="578" spans="1:12" ht="13" x14ac:dyDescent="0.3">
      <c r="A578" s="91"/>
      <c r="B578" s="104"/>
      <c r="C578" s="74"/>
      <c r="D578" s="74"/>
      <c r="E578" s="74"/>
      <c r="F578" s="74"/>
      <c r="G578" s="74"/>
      <c r="H578" s="74"/>
      <c r="I578" s="74"/>
      <c r="J578" s="95"/>
    </row>
    <row r="579" spans="1:12" ht="30.75" customHeight="1" x14ac:dyDescent="0.3">
      <c r="A579" s="91"/>
      <c r="B579" s="931" t="s">
        <v>640</v>
      </c>
      <c r="C579" s="932"/>
      <c r="D579" s="932"/>
      <c r="E579" s="932"/>
      <c r="F579" s="932"/>
      <c r="G579" s="933"/>
      <c r="H579" s="131" t="s">
        <v>242</v>
      </c>
      <c r="I579" s="131" t="s">
        <v>242</v>
      </c>
      <c r="J579" s="95"/>
    </row>
    <row r="580" spans="1:12" ht="13" x14ac:dyDescent="0.3">
      <c r="A580" s="91"/>
      <c r="B580" s="74"/>
      <c r="C580" s="74"/>
      <c r="D580" s="74"/>
      <c r="E580" s="74"/>
      <c r="F580" s="74"/>
      <c r="G580" s="74"/>
      <c r="H580" s="103" t="str">
        <f>+'Unit tariffs'!$F$11</f>
        <v>2026/2027</v>
      </c>
      <c r="I580" s="103" t="str">
        <f>+'Unit tariffs'!$F$11</f>
        <v>2026/2027</v>
      </c>
      <c r="J580" s="444" t="s">
        <v>313</v>
      </c>
    </row>
    <row r="581" spans="1:12" ht="13" x14ac:dyDescent="0.3">
      <c r="A581" s="91"/>
      <c r="B581" s="74"/>
      <c r="C581" s="74"/>
      <c r="D581" s="74"/>
      <c r="E581" s="74"/>
      <c r="F581" s="74"/>
      <c r="G581" s="74"/>
      <c r="H581" s="74"/>
      <c r="I581" s="74"/>
      <c r="J581" s="95"/>
      <c r="L581" s="348"/>
    </row>
    <row r="582" spans="1:12" ht="13" x14ac:dyDescent="0.3">
      <c r="A582" s="91"/>
      <c r="B582" s="104" t="s">
        <v>117</v>
      </c>
      <c r="C582" s="74"/>
      <c r="D582" s="85"/>
      <c r="E582" s="85"/>
      <c r="F582" s="85"/>
      <c r="G582" s="85"/>
      <c r="H582" s="707"/>
      <c r="I582" s="707"/>
      <c r="J582" s="95"/>
      <c r="L582" s="348"/>
    </row>
    <row r="583" spans="1:12" ht="13" x14ac:dyDescent="0.3">
      <c r="A583" s="91"/>
      <c r="B583" s="74" t="s">
        <v>118</v>
      </c>
      <c r="C583" s="74"/>
      <c r="D583" s="85"/>
      <c r="E583" s="85"/>
      <c r="F583" s="85"/>
      <c r="G583" s="85"/>
      <c r="H583" s="707"/>
      <c r="I583" s="707"/>
      <c r="J583" s="95"/>
      <c r="L583" s="348"/>
    </row>
    <row r="584" spans="1:12" ht="13" x14ac:dyDescent="0.3">
      <c r="A584" s="91"/>
      <c r="B584" s="74">
        <v>5</v>
      </c>
      <c r="C584" s="74" t="str">
        <f>'Unit tariffs'!B137</f>
        <v>Primary Backbone - Peri Urban</v>
      </c>
      <c r="D584" s="85"/>
      <c r="E584" s="74"/>
      <c r="F584" s="74" t="str">
        <f>'Unit tariffs'!C$132</f>
        <v>per kVA</v>
      </c>
      <c r="G584" s="85"/>
      <c r="H584" s="188">
        <v>6352.1370000000015</v>
      </c>
      <c r="I584" s="188">
        <f>VLOOKUP($C584,'Unit tariffs'!$B$21:$F$158,5,FALSE)*$B584</f>
        <v>7177.4892168210008</v>
      </c>
      <c r="J584" s="95"/>
      <c r="L584" s="348"/>
    </row>
    <row r="585" spans="1:12" ht="13" x14ac:dyDescent="0.3">
      <c r="A585" s="91"/>
      <c r="B585" s="74">
        <v>5</v>
      </c>
      <c r="C585" s="74" t="str">
        <f>'Unit tariffs'!B138</f>
        <v>Secondary Backbone - MV Peri Urban</v>
      </c>
      <c r="D585" s="85"/>
      <c r="E585" s="74"/>
      <c r="F585" s="74" t="str">
        <f>'Unit tariffs'!C$132</f>
        <v>per kVA</v>
      </c>
      <c r="G585" s="85"/>
      <c r="H585" s="188">
        <v>5345.4775000000009</v>
      </c>
      <c r="I585" s="188">
        <f>VLOOKUP($C585,'Unit tariffs'!$B$21:$F$158,5,FALSE)*$B585</f>
        <v>6040.0314280074999</v>
      </c>
      <c r="J585" s="95"/>
      <c r="L585" s="348"/>
    </row>
    <row r="586" spans="1:12" ht="13" x14ac:dyDescent="0.3">
      <c r="A586" s="91"/>
      <c r="B586" s="74">
        <v>5</v>
      </c>
      <c r="C586" s="74" t="str">
        <f>'Unit tariffs'!B139</f>
        <v>Secondary Backbone - LV Peri Urban</v>
      </c>
      <c r="D586" s="85"/>
      <c r="E586" s="74"/>
      <c r="F586" s="74" t="str">
        <f>'Unit tariffs'!C$133</f>
        <v>per kVA</v>
      </c>
      <c r="G586" s="85"/>
      <c r="H586" s="708">
        <v>8769.1120000000028</v>
      </c>
      <c r="I586" s="708">
        <f>VLOOKUP($C586,'Unit tariffs'!$B$21:$F$158,5,FALSE)*$B586</f>
        <v>9908.5090294960009</v>
      </c>
      <c r="J586" s="95"/>
      <c r="L586" s="348"/>
    </row>
    <row r="587" spans="1:12" ht="13" x14ac:dyDescent="0.3">
      <c r="A587" s="91"/>
      <c r="B587" s="646"/>
      <c r="C587" s="646"/>
      <c r="D587" s="709"/>
      <c r="E587" s="646"/>
      <c r="F587" s="646"/>
      <c r="G587" s="85"/>
      <c r="H587" s="188">
        <v>20466.726500000004</v>
      </c>
      <c r="I587" s="188">
        <f>SUM(I584:I586)</f>
        <v>23126.029674324502</v>
      </c>
      <c r="J587" s="95"/>
      <c r="L587" s="348"/>
    </row>
    <row r="588" spans="1:12" ht="13" x14ac:dyDescent="0.3">
      <c r="A588" s="91"/>
      <c r="B588" s="104" t="s">
        <v>41</v>
      </c>
      <c r="C588" s="74"/>
      <c r="D588" s="74"/>
      <c r="E588" s="74"/>
      <c r="F588" s="74"/>
      <c r="G588" s="74"/>
      <c r="H588" s="74"/>
      <c r="I588" s="74"/>
      <c r="J588" s="95"/>
    </row>
    <row r="589" spans="1:12" ht="13" x14ac:dyDescent="0.3">
      <c r="A589" s="91"/>
      <c r="B589" s="74">
        <v>1</v>
      </c>
      <c r="C589" t="s">
        <v>312</v>
      </c>
      <c r="D589" s="74"/>
      <c r="E589" s="74"/>
      <c r="F589" s="74"/>
      <c r="G589" s="74"/>
      <c r="H589" s="189">
        <v>5538.1406043608804</v>
      </c>
      <c r="I589" s="189">
        <f>VLOOKUP($C589,'Unit tariffs'!$B$21:$F$123,5,FALSE)*$B589</f>
        <v>0</v>
      </c>
      <c r="J589" s="457" t="e">
        <f>IF(+I589*'Unit tariffs'!#REF!&gt;'Unit tariffs'!#REF!,'Unit tariffs'!#REF!,+I589*'Unit tariffs'!#REF!)</f>
        <v>#REF!</v>
      </c>
      <c r="L589" s="76"/>
    </row>
    <row r="590" spans="1:12" ht="13" x14ac:dyDescent="0.3">
      <c r="A590" s="91"/>
      <c r="B590" s="74">
        <v>1</v>
      </c>
      <c r="C590" s="74" t="s">
        <v>99</v>
      </c>
      <c r="D590" s="74"/>
      <c r="E590" s="74"/>
      <c r="F590" s="74"/>
      <c r="G590" s="74"/>
      <c r="H590" s="189">
        <v>195.804552748324</v>
      </c>
      <c r="I590" s="189">
        <f>VLOOKUP($C590,'Unit tariffs'!$B$21:$F$123,5,FALSE)*$B590</f>
        <v>0</v>
      </c>
      <c r="J590" s="457" t="e">
        <f>IF(+I590*'Unit tariffs'!#REF!&gt;'Unit tariffs'!#REF!,'Unit tariffs'!#REF!,+I590*'Unit tariffs'!#REF!)</f>
        <v>#REF!</v>
      </c>
      <c r="L590" s="76"/>
    </row>
    <row r="591" spans="1:12" ht="13" x14ac:dyDescent="0.3">
      <c r="A591" s="91"/>
      <c r="B591" s="74">
        <v>1</v>
      </c>
      <c r="C591" s="74" t="str">
        <f>'Unit tariffs'!B47</f>
        <v>Modum for TOU meter</v>
      </c>
      <c r="D591" s="74"/>
      <c r="E591" s="74"/>
      <c r="F591" s="74"/>
      <c r="G591" s="74"/>
      <c r="H591" s="189">
        <v>3707.5418271871995</v>
      </c>
      <c r="I591" s="189">
        <f>VLOOKUP($C591,'Unit tariffs'!$B$21:$F$123,5,FALSE)*$B591</f>
        <v>338.07595359999993</v>
      </c>
      <c r="J591" s="457" t="e">
        <f>IF(+I591*'Unit tariffs'!#REF!&gt;'Unit tariffs'!#REF!,'Unit tariffs'!#REF!,+I591*'Unit tariffs'!#REF!)</f>
        <v>#REF!</v>
      </c>
      <c r="L591" s="76"/>
    </row>
    <row r="592" spans="1:12" ht="13" x14ac:dyDescent="0.3">
      <c r="A592" s="91"/>
      <c r="B592" s="74">
        <v>1</v>
      </c>
      <c r="C592" s="74" t="s">
        <v>17</v>
      </c>
      <c r="D592" s="74"/>
      <c r="E592" s="74"/>
      <c r="F592" s="74"/>
      <c r="G592" s="74"/>
      <c r="H592" s="189">
        <v>271.44100000000003</v>
      </c>
      <c r="I592" s="189">
        <f>VLOOKUP($C592,'Unit tariffs'!$B$21:$F$123,5,FALSE)*$B592</f>
        <v>282.48325</v>
      </c>
      <c r="J592" s="457" t="e">
        <f>IF(+I592*'Unit tariffs'!#REF!&gt;'Unit tariffs'!#REF!,'Unit tariffs'!#REF!,+I592*'Unit tariffs'!#REF!)</f>
        <v>#REF!</v>
      </c>
      <c r="L592" s="76"/>
    </row>
    <row r="593" spans="1:11" ht="13" x14ac:dyDescent="0.3">
      <c r="A593" s="91"/>
      <c r="B593" s="74"/>
      <c r="C593" s="74"/>
      <c r="D593" s="74"/>
      <c r="E593" s="74"/>
      <c r="F593" s="74"/>
      <c r="G593" s="74"/>
      <c r="H593" s="76">
        <v>9712.9279842964042</v>
      </c>
      <c r="I593" s="76">
        <f>SUM(I589:I592)</f>
        <v>620.55920359999993</v>
      </c>
      <c r="J593" s="105"/>
    </row>
    <row r="594" spans="1:11" ht="13" x14ac:dyDescent="0.3">
      <c r="A594" s="91"/>
      <c r="B594" s="104" t="s">
        <v>42</v>
      </c>
      <c r="C594" s="74"/>
      <c r="D594" s="74"/>
      <c r="E594" s="74"/>
      <c r="F594" s="74"/>
      <c r="G594" s="76"/>
      <c r="H594" s="74"/>
      <c r="I594" s="74"/>
      <c r="J594" s="95"/>
    </row>
    <row r="595" spans="1:11" ht="13" x14ac:dyDescent="0.3">
      <c r="A595" s="91"/>
      <c r="B595" s="74"/>
      <c r="C595" s="74"/>
      <c r="D595" s="74"/>
      <c r="E595" s="74"/>
      <c r="F595" s="74"/>
      <c r="G595" s="74"/>
      <c r="H595" s="74"/>
      <c r="I595" s="74"/>
      <c r="J595" s="95"/>
    </row>
    <row r="596" spans="1:11" ht="13" x14ac:dyDescent="0.3">
      <c r="A596" s="91"/>
      <c r="B596" s="74">
        <v>4</v>
      </c>
      <c r="C596" s="20" t="s">
        <v>92</v>
      </c>
      <c r="D596" s="74"/>
      <c r="E596" s="74"/>
      <c r="F596" s="74"/>
      <c r="G596" s="74"/>
      <c r="H596" s="76">
        <v>322.85223173076923</v>
      </c>
      <c r="I596" s="76">
        <f>+'Unit tariffs'!F87</f>
        <v>351.19276615384621</v>
      </c>
      <c r="J596" s="105"/>
    </row>
    <row r="597" spans="1:11" ht="13" x14ac:dyDescent="0.3">
      <c r="A597" s="91"/>
      <c r="B597" s="74">
        <v>8</v>
      </c>
      <c r="C597" s="20" t="s">
        <v>54</v>
      </c>
      <c r="D597" s="74"/>
      <c r="E597" s="74"/>
      <c r="F597" s="74"/>
      <c r="G597" s="74"/>
      <c r="H597" s="81">
        <v>128.53580769230771</v>
      </c>
      <c r="I597" s="81">
        <f>+'Unit tariffs'!F85</f>
        <v>139.82425846153848</v>
      </c>
      <c r="J597" s="105"/>
    </row>
    <row r="598" spans="1:11" ht="13" x14ac:dyDescent="0.3">
      <c r="A598" s="91"/>
      <c r="B598" s="74"/>
      <c r="C598" s="74"/>
      <c r="D598" s="74"/>
      <c r="E598" s="74"/>
      <c r="F598" s="74"/>
      <c r="G598" s="74"/>
      <c r="H598" s="76">
        <v>451.38803942307698</v>
      </c>
      <c r="I598" s="76">
        <f>SUM(I596:I597)</f>
        <v>491.01702461538468</v>
      </c>
      <c r="J598" s="105"/>
    </row>
    <row r="599" spans="1:11" ht="13" x14ac:dyDescent="0.3">
      <c r="A599" s="91"/>
      <c r="B599" s="104" t="s">
        <v>43</v>
      </c>
      <c r="C599" s="74"/>
      <c r="D599" s="74"/>
      <c r="E599" s="74"/>
      <c r="F599" s="74"/>
      <c r="G599" s="74"/>
      <c r="H599" s="74"/>
      <c r="I599" s="74"/>
      <c r="J599" s="95"/>
    </row>
    <row r="600" spans="1:11" ht="13" x14ac:dyDescent="0.3">
      <c r="A600" s="91"/>
      <c r="B600" s="74"/>
      <c r="C600" s="74"/>
      <c r="D600" s="74"/>
      <c r="E600" s="74"/>
      <c r="F600" s="74"/>
      <c r="G600" s="74"/>
      <c r="H600" s="74"/>
      <c r="I600" s="74"/>
      <c r="J600" s="95"/>
    </row>
    <row r="601" spans="1:11" ht="13" x14ac:dyDescent="0.3">
      <c r="A601" s="91"/>
      <c r="B601" s="74">
        <v>30</v>
      </c>
      <c r="C601" s="74" t="str">
        <f>'Unit tariffs'!B$111</f>
        <v>km-truck with platform</v>
      </c>
      <c r="D601" s="74"/>
      <c r="E601" s="74"/>
      <c r="F601" s="74"/>
      <c r="G601" s="74"/>
      <c r="H601" s="76">
        <v>1263.6151042727799</v>
      </c>
      <c r="I601" s="76">
        <f>VLOOKUP($C601,'Unit tariffs'!$B$21:$F$123,5,FALSE)*$B601</f>
        <v>1478.4996522648166</v>
      </c>
      <c r="J601" s="105"/>
    </row>
    <row r="602" spans="1:11" ht="13" x14ac:dyDescent="0.3">
      <c r="A602" s="91"/>
      <c r="B602" s="74">
        <f>+B596</f>
        <v>4</v>
      </c>
      <c r="C602" s="74" t="str">
        <f>'Unit tariffs'!B$112</f>
        <v>hour-truck with platform</v>
      </c>
      <c r="D602" s="74"/>
      <c r="E602" s="74"/>
      <c r="F602" s="74"/>
      <c r="G602" s="74"/>
      <c r="H602" s="81">
        <v>819.93766924669251</v>
      </c>
      <c r="I602" s="81">
        <f>VLOOKUP($C602,'Unit tariffs'!$B$21:$F$123,5,FALSE)*$B602</f>
        <v>959.37248198511679</v>
      </c>
      <c r="J602" s="105"/>
    </row>
    <row r="603" spans="1:11" ht="13.5" thickBot="1" x14ac:dyDescent="0.35">
      <c r="A603" s="91"/>
      <c r="B603" s="74"/>
      <c r="C603" s="74"/>
      <c r="D603" s="74"/>
      <c r="E603" s="74"/>
      <c r="F603" s="74"/>
      <c r="G603" s="74"/>
      <c r="H603" s="107">
        <v>2083.5527735194723</v>
      </c>
      <c r="I603" s="107">
        <f>SUM(I601:I602)</f>
        <v>2437.8721342499334</v>
      </c>
      <c r="J603" s="105"/>
    </row>
    <row r="604" spans="1:11" ht="13.5" thickTop="1" x14ac:dyDescent="0.3">
      <c r="A604" s="91"/>
      <c r="B604" s="74"/>
      <c r="C604" s="74"/>
      <c r="D604" s="74"/>
      <c r="E604" s="74"/>
      <c r="F604" s="74"/>
      <c r="G604" s="74"/>
      <c r="H604" s="76">
        <v>32714.595297238957</v>
      </c>
      <c r="I604" s="76">
        <f>+I603+I598+I593+I587</f>
        <v>26675.47803678982</v>
      </c>
      <c r="J604" s="105"/>
    </row>
    <row r="605" spans="1:11" ht="13.5" thickBot="1" x14ac:dyDescent="0.35">
      <c r="A605" s="91"/>
      <c r="B605" s="104" t="str">
        <f>'Unit tariffs'!$B$7</f>
        <v>Administration Levy (Indirect Cost)</v>
      </c>
      <c r="C605" s="74"/>
      <c r="D605" s="106">
        <f>'Unit tariffs'!$C$7</f>
        <v>0.1</v>
      </c>
      <c r="E605" s="74" t="s">
        <v>311</v>
      </c>
      <c r="F605" s="186">
        <f>+'Unit tariffs'!$F$7</f>
        <v>10000</v>
      </c>
      <c r="G605" s="74" t="s">
        <v>44</v>
      </c>
      <c r="H605" s="108">
        <v>3271.4595297238957</v>
      </c>
      <c r="I605" s="108">
        <f>IF(I604*$D605&gt;='Unit tariffs'!$E$7,'Unit tariffs'!$E$7,I604*$D605)</f>
        <v>2667.5478036789823</v>
      </c>
      <c r="J605" s="105"/>
    </row>
    <row r="606" spans="1:11" ht="13.5" thickTop="1" x14ac:dyDescent="0.3">
      <c r="A606" s="91"/>
      <c r="B606" s="104" t="s">
        <v>44</v>
      </c>
      <c r="C606" s="74"/>
      <c r="D606" s="74"/>
      <c r="E606" s="74"/>
      <c r="F606" s="74"/>
      <c r="G606" s="76"/>
      <c r="H606" s="109">
        <v>35986.054826962849</v>
      </c>
      <c r="I606" s="109">
        <f>SUM(I604:I605)</f>
        <v>29343.025840468803</v>
      </c>
      <c r="J606" s="105"/>
      <c r="K606" s="111"/>
    </row>
    <row r="607" spans="1:11" ht="13" x14ac:dyDescent="0.3">
      <c r="A607" s="91"/>
      <c r="B607" s="104"/>
      <c r="C607" s="74"/>
      <c r="D607" s="74"/>
      <c r="E607" s="74"/>
      <c r="F607" s="74"/>
      <c r="G607" s="76"/>
      <c r="H607" s="76"/>
      <c r="I607" s="76"/>
      <c r="J607" s="105"/>
    </row>
    <row r="608" spans="1:11" ht="13" x14ac:dyDescent="0.3">
      <c r="A608" s="91"/>
      <c r="B608" s="104" t="s">
        <v>45</v>
      </c>
      <c r="C608" s="74"/>
      <c r="D608" s="74"/>
      <c r="E608" s="74"/>
      <c r="F608" s="74"/>
      <c r="G608" s="76"/>
      <c r="H608" s="84">
        <v>35990</v>
      </c>
      <c r="I608" s="84">
        <f>ROUND(I606,-1)</f>
        <v>29340</v>
      </c>
      <c r="J608" s="110"/>
    </row>
    <row r="609" spans="1:10" ht="13" x14ac:dyDescent="0.3">
      <c r="A609" s="91"/>
      <c r="E609" s="74"/>
      <c r="F609" s="74"/>
      <c r="G609" s="74"/>
      <c r="H609" s="74"/>
      <c r="I609" s="74"/>
      <c r="J609" s="105"/>
    </row>
    <row r="610" spans="1:10" ht="13" x14ac:dyDescent="0.3">
      <c r="A610" s="91"/>
      <c r="B610" s="74"/>
      <c r="C610" s="74"/>
      <c r="D610" s="74"/>
      <c r="E610" s="74"/>
      <c r="F610" s="74"/>
      <c r="G610" s="74"/>
      <c r="H610" s="112">
        <v>0</v>
      </c>
      <c r="I610" s="112">
        <f>(I608-H608)/H608</f>
        <v>-0.18477354820783551</v>
      </c>
      <c r="J610" s="113"/>
    </row>
    <row r="611" spans="1:10" ht="13.5" thickBot="1" x14ac:dyDescent="0.35">
      <c r="A611" s="91"/>
      <c r="B611" s="74"/>
      <c r="C611" s="74"/>
      <c r="D611" s="74"/>
      <c r="E611" s="74"/>
      <c r="F611" s="74"/>
      <c r="G611" s="74"/>
      <c r="H611" s="74"/>
      <c r="I611" s="74"/>
      <c r="J611" s="95"/>
    </row>
    <row r="612" spans="1:10" ht="13.5" thickTop="1" x14ac:dyDescent="0.3">
      <c r="A612" s="445"/>
      <c r="B612" s="120"/>
      <c r="C612" s="120"/>
      <c r="D612" s="120"/>
      <c r="E612" s="120"/>
      <c r="F612" s="120"/>
      <c r="G612" s="120"/>
      <c r="H612" s="120"/>
      <c r="I612" s="120"/>
      <c r="J612" s="446"/>
    </row>
    <row r="613" spans="1:10" ht="39.75" customHeight="1" x14ac:dyDescent="0.3">
      <c r="A613" s="91"/>
      <c r="B613" s="931" t="s">
        <v>642</v>
      </c>
      <c r="C613" s="932"/>
      <c r="D613" s="932"/>
      <c r="E613" s="932"/>
      <c r="F613" s="932"/>
      <c r="G613" s="933"/>
      <c r="H613" s="131" t="s">
        <v>576</v>
      </c>
      <c r="I613" s="131" t="s">
        <v>576</v>
      </c>
      <c r="J613" s="95"/>
    </row>
    <row r="614" spans="1:10" ht="13" x14ac:dyDescent="0.3">
      <c r="A614" s="91"/>
      <c r="B614" s="74"/>
      <c r="C614" s="74"/>
      <c r="D614" s="74"/>
      <c r="E614" s="74"/>
      <c r="F614" s="74"/>
      <c r="G614" s="74"/>
      <c r="H614" s="103" t="str">
        <f>+'Unit tariffs'!$F$11</f>
        <v>2026/2027</v>
      </c>
      <c r="I614" s="103" t="str">
        <f>+'Unit tariffs'!$F$11</f>
        <v>2026/2027</v>
      </c>
      <c r="J614" s="444" t="s">
        <v>313</v>
      </c>
    </row>
    <row r="615" spans="1:10" ht="13" x14ac:dyDescent="0.3">
      <c r="A615" s="91"/>
      <c r="B615" s="74"/>
      <c r="C615" s="74"/>
      <c r="D615" s="74"/>
      <c r="E615" s="74"/>
      <c r="F615" s="74"/>
      <c r="G615" s="74"/>
      <c r="H615" s="74"/>
      <c r="I615" s="74"/>
      <c r="J615" s="95"/>
    </row>
    <row r="616" spans="1:10" ht="13" x14ac:dyDescent="0.3">
      <c r="A616" s="91"/>
      <c r="B616" s="104" t="s">
        <v>117</v>
      </c>
      <c r="C616" s="74"/>
      <c r="D616" s="74"/>
      <c r="E616" s="74"/>
      <c r="F616" s="74"/>
      <c r="G616" s="74"/>
      <c r="H616" s="104"/>
      <c r="I616" s="104"/>
      <c r="J616" s="95"/>
    </row>
    <row r="617" spans="1:10" ht="13" x14ac:dyDescent="0.3">
      <c r="A617" s="91"/>
      <c r="B617" s="74" t="s">
        <v>118</v>
      </c>
      <c r="C617" s="74"/>
      <c r="D617" s="74"/>
      <c r="E617" s="74"/>
      <c r="F617" s="74"/>
      <c r="G617" s="74"/>
      <c r="H617" s="104"/>
      <c r="I617" s="104"/>
      <c r="J617" s="95"/>
    </row>
    <row r="618" spans="1:10" ht="13" x14ac:dyDescent="0.3">
      <c r="A618" s="91"/>
      <c r="B618" s="74">
        <v>5</v>
      </c>
      <c r="C618" s="74" t="str">
        <f>'Unit tariffs'!B138</f>
        <v>Secondary Backbone - MV Peri Urban</v>
      </c>
      <c r="D618" s="74"/>
      <c r="E618" s="74"/>
      <c r="F618" s="74" t="str">
        <f>'Unit tariffs'!C$132</f>
        <v>per kVA</v>
      </c>
      <c r="G618" s="74"/>
      <c r="H618" s="76">
        <v>9528.2055000000018</v>
      </c>
      <c r="I618" s="76">
        <f>VLOOKUP($C618,'Unit tariffs'!$B$21:$F$158,5,FALSE)*$B618</f>
        <v>6040.0314280074999</v>
      </c>
      <c r="J618" s="95"/>
    </row>
    <row r="619" spans="1:10" ht="13" x14ac:dyDescent="0.3">
      <c r="A619" s="91"/>
      <c r="B619" s="74">
        <v>5</v>
      </c>
      <c r="C619" s="74" t="str">
        <f>'Unit tariffs'!B139</f>
        <v>Secondary Backbone - LV Peri Urban</v>
      </c>
      <c r="D619" s="74"/>
      <c r="E619" s="74"/>
      <c r="F619" s="74" t="str">
        <f>'Unit tariffs'!C$132</f>
        <v>per kVA</v>
      </c>
      <c r="G619" s="74"/>
      <c r="H619" s="81">
        <v>8018.2162500000013</v>
      </c>
      <c r="I619" s="81">
        <f>VLOOKUP($C619,'Unit tariffs'!$B$21:$F$158,5,FALSE)*$B619</f>
        <v>9908.5090294960009</v>
      </c>
      <c r="J619" s="95"/>
    </row>
    <row r="620" spans="1:10" ht="13" x14ac:dyDescent="0.3">
      <c r="A620" s="91"/>
      <c r="B620" s="646"/>
      <c r="C620" s="646"/>
      <c r="D620" s="646"/>
      <c r="E620" s="646"/>
      <c r="F620" s="646"/>
      <c r="G620" s="74"/>
      <c r="H620" s="76">
        <v>30700.089750000006</v>
      </c>
      <c r="I620" s="76">
        <f>SUM(I618:I619)</f>
        <v>15948.540457503501</v>
      </c>
      <c r="J620" s="95"/>
    </row>
    <row r="621" spans="1:10" ht="13" x14ac:dyDescent="0.3">
      <c r="A621" s="91"/>
      <c r="B621" s="74"/>
      <c r="C621" s="74"/>
      <c r="D621" s="74"/>
      <c r="E621" s="74"/>
      <c r="F621" s="74"/>
      <c r="G621" s="74"/>
      <c r="H621" s="74"/>
      <c r="I621" s="74"/>
      <c r="J621" s="95"/>
    </row>
    <row r="622" spans="1:10" ht="13" x14ac:dyDescent="0.3">
      <c r="A622" s="91"/>
      <c r="B622" s="74"/>
      <c r="C622" s="74"/>
      <c r="D622" s="74"/>
      <c r="E622" s="74"/>
      <c r="F622" s="74"/>
      <c r="G622" s="74"/>
      <c r="H622" s="74"/>
      <c r="I622" s="74"/>
      <c r="J622" s="95"/>
    </row>
    <row r="623" spans="1:10" ht="13" x14ac:dyDescent="0.3">
      <c r="A623" s="91"/>
      <c r="B623" s="74"/>
      <c r="C623" s="74"/>
      <c r="D623" s="74"/>
      <c r="E623" s="74"/>
      <c r="F623" s="74"/>
      <c r="G623" s="74"/>
      <c r="H623" s="74"/>
      <c r="I623" s="74"/>
      <c r="J623" s="95"/>
    </row>
    <row r="624" spans="1:10" ht="13" x14ac:dyDescent="0.3">
      <c r="A624" s="91"/>
      <c r="B624" s="104" t="s">
        <v>41</v>
      </c>
      <c r="C624" s="74"/>
      <c r="D624" s="74"/>
      <c r="E624" s="74"/>
      <c r="F624" s="74"/>
      <c r="G624" s="74"/>
      <c r="H624" s="74"/>
      <c r="I624" s="74"/>
      <c r="J624" s="95"/>
    </row>
    <row r="625" spans="1:10" ht="13" x14ac:dyDescent="0.3">
      <c r="A625" s="91"/>
      <c r="B625" s="74">
        <v>1</v>
      </c>
      <c r="C625" s="74" t="str">
        <f>'Unit tariffs'!B34</f>
        <v>METER:S/P WIRED PRE-PAID</v>
      </c>
      <c r="D625" s="74"/>
      <c r="E625" s="74"/>
      <c r="F625" s="74"/>
      <c r="G625" s="74"/>
      <c r="H625" s="76">
        <v>2262.7591214051877</v>
      </c>
      <c r="I625" s="76">
        <f>VLOOKUP($C625,'Unit tariffs'!$B$21:$F$123,5,FALSE)*$B625</f>
        <v>2142.3529679999997</v>
      </c>
      <c r="J625" s="457" t="e">
        <f>IF(+I625*'Unit tariffs'!#REF!&gt;'Unit tariffs'!#REF!,'Unit tariffs'!#REF!,+I625*'Unit tariffs'!#REF!)</f>
        <v>#REF!</v>
      </c>
    </row>
    <row r="626" spans="1:10" ht="13" x14ac:dyDescent="0.3">
      <c r="A626" s="91"/>
      <c r="B626" s="74">
        <v>1</v>
      </c>
      <c r="C626" s="74" t="str">
        <f>'Unit tariffs'!B43</f>
        <v>x 80 A circuit breaker (5kA) - Orange</v>
      </c>
      <c r="D626" s="74"/>
      <c r="E626" s="74"/>
      <c r="F626" s="74"/>
      <c r="G626" s="74"/>
      <c r="H626" s="76">
        <v>195.804552748324</v>
      </c>
      <c r="I626" s="76">
        <f>VLOOKUP($C626,'Unit tariffs'!$B$21:$F$123,5,FALSE)*$B626</f>
        <v>0</v>
      </c>
      <c r="J626" s="457" t="e">
        <f>IF(+I626*'Unit tariffs'!#REF!&gt;'Unit tariffs'!#REF!,'Unit tariffs'!#REF!,+I626*'Unit tariffs'!#REF!)</f>
        <v>#REF!</v>
      </c>
    </row>
    <row r="627" spans="1:10" ht="13" x14ac:dyDescent="0.3">
      <c r="A627" s="91"/>
      <c r="B627" s="74">
        <v>0</v>
      </c>
      <c r="C627" s="74" t="str">
        <f>'Unit tariffs'!B72</f>
        <v>Cable clamp (Clampex) - K26</v>
      </c>
      <c r="D627" s="74"/>
      <c r="E627" s="74"/>
      <c r="F627" s="74"/>
      <c r="G627" s="74"/>
      <c r="H627" s="76">
        <v>0</v>
      </c>
      <c r="I627" s="76">
        <f>VLOOKUP($C627,'Unit tariffs'!$B$21:$F$123,5,FALSE)*$B627</f>
        <v>0</v>
      </c>
      <c r="J627" s="457" t="e">
        <f>IF(+I627*'Unit tariffs'!#REF!&gt;'Unit tariffs'!#REF!,'Unit tariffs'!#REF!,+I627*'Unit tariffs'!#REF!)</f>
        <v>#REF!</v>
      </c>
    </row>
    <row r="628" spans="1:10" ht="13" x14ac:dyDescent="0.3">
      <c r="A628" s="91"/>
      <c r="B628" s="85">
        <v>1</v>
      </c>
      <c r="C628" s="74" t="str">
        <f>'Unit tariffs'!B21</f>
        <v>Installation material</v>
      </c>
      <c r="D628" s="74"/>
      <c r="E628" s="74"/>
      <c r="F628" s="74"/>
      <c r="G628" s="74"/>
      <c r="H628" s="76">
        <v>271.44100000000003</v>
      </c>
      <c r="I628" s="76">
        <f>VLOOKUP($C628,'Unit tariffs'!$B$21:$F$123,5,FALSE)*$B628</f>
        <v>282.48325</v>
      </c>
      <c r="J628" s="457" t="e">
        <f>IF(+I628*'Unit tariffs'!#REF!&gt;'Unit tariffs'!#REF!,'Unit tariffs'!#REF!,+I628*'Unit tariffs'!#REF!)</f>
        <v>#REF!</v>
      </c>
    </row>
    <row r="629" spans="1:10" ht="13" x14ac:dyDescent="0.3">
      <c r="A629" s="91"/>
      <c r="B629" s="85">
        <v>0</v>
      </c>
      <c r="C629" s="74" t="str">
        <f>'Unit tariffs'!B38</f>
        <v xml:space="preserve"> Rural household meter box</v>
      </c>
      <c r="D629" s="74"/>
      <c r="E629" s="74"/>
      <c r="F629" s="74"/>
      <c r="G629" s="74"/>
      <c r="H629" s="76">
        <v>0</v>
      </c>
      <c r="I629" s="76">
        <f>VLOOKUP($C629,'Unit tariffs'!$B$21:$F$123,5,FALSE)*$B629</f>
        <v>0</v>
      </c>
      <c r="J629" s="457" t="e">
        <f>IF(+I629*'Unit tariffs'!#REF!&gt;'Unit tariffs'!#REF!,'Unit tariffs'!#REF!,+I629*'Unit tariffs'!#REF!)</f>
        <v>#REF!</v>
      </c>
    </row>
    <row r="630" spans="1:10" ht="13" x14ac:dyDescent="0.3">
      <c r="A630" s="91"/>
      <c r="B630" s="85">
        <v>0</v>
      </c>
      <c r="C630" s="74" t="str">
        <f>'Unit tariffs'!B62</f>
        <v>3m Pole for rural box</v>
      </c>
      <c r="D630" s="74"/>
      <c r="E630" s="74"/>
      <c r="F630" s="74"/>
      <c r="G630" s="74"/>
      <c r="H630" s="76">
        <v>0</v>
      </c>
      <c r="I630" s="76">
        <f>VLOOKUP($C630,'Unit tariffs'!$B$21:$F$123,5,FALSE)*$B630</f>
        <v>0</v>
      </c>
      <c r="J630" s="457" t="e">
        <f>IF(+I630*'Unit tariffs'!#REF!&gt;'Unit tariffs'!#REF!,'Unit tariffs'!#REF!,+I630*'Unit tariffs'!#REF!)</f>
        <v>#REF!</v>
      </c>
    </row>
    <row r="631" spans="1:10" ht="13" x14ac:dyDescent="0.3">
      <c r="A631" s="91"/>
      <c r="B631" s="85">
        <v>0</v>
      </c>
      <c r="C631" s="74" t="str">
        <f>'Unit tariffs'!B56</f>
        <v>m 16 mm x 4 Cu cable</v>
      </c>
      <c r="D631" s="74"/>
      <c r="E631" s="74"/>
      <c r="F631" s="74"/>
      <c r="G631" s="74"/>
      <c r="H631" s="76">
        <v>0</v>
      </c>
      <c r="I631" s="76">
        <f>VLOOKUP($C631,'Unit tariffs'!$B$21:$F$123,5,FALSE)*$B631</f>
        <v>0</v>
      </c>
      <c r="J631" s="457" t="e">
        <f>IF(+I631*'Unit tariffs'!#REF!&gt;'Unit tariffs'!#REF!,'Unit tariffs'!#REF!,+I631*'Unit tariffs'!#REF!)</f>
        <v>#REF!</v>
      </c>
    </row>
    <row r="632" spans="1:10" ht="13" x14ac:dyDescent="0.3">
      <c r="A632" s="91"/>
      <c r="B632" s="85">
        <v>0</v>
      </c>
      <c r="C632" s="74" t="str">
        <f>'Unit tariffs'!B44</f>
        <v>x 100 A circuit breaker</v>
      </c>
      <c r="D632" s="74"/>
      <c r="E632" s="74"/>
      <c r="F632" s="74"/>
      <c r="G632" s="74"/>
      <c r="H632" s="76">
        <v>0</v>
      </c>
      <c r="I632" s="76">
        <f>VLOOKUP($C632,'Unit tariffs'!$B$21:$F$123,5,FALSE)*$B632</f>
        <v>0</v>
      </c>
      <c r="J632" s="457" t="e">
        <f>IF(+I632*'Unit tariffs'!#REF!&gt;'Unit tariffs'!#REF!,'Unit tariffs'!#REF!,+I632*'Unit tariffs'!#REF!)</f>
        <v>#REF!</v>
      </c>
    </row>
    <row r="633" spans="1:10" ht="13" x14ac:dyDescent="0.3">
      <c r="A633" s="91"/>
      <c r="B633" s="85">
        <v>0</v>
      </c>
      <c r="C633" s="74" t="str">
        <f>'Unit tariffs'!B61</f>
        <v>SPB1 Pole box</v>
      </c>
      <c r="D633" s="74"/>
      <c r="E633" s="74"/>
      <c r="F633" s="74"/>
      <c r="G633" s="74"/>
      <c r="H633" s="76">
        <v>0</v>
      </c>
      <c r="I633" s="76">
        <f>VLOOKUP($C633,'Unit tariffs'!$B$21:$F$123,5,FALSE)*$B633</f>
        <v>0</v>
      </c>
      <c r="J633" s="457" t="e">
        <f>IF(+I633*'Unit tariffs'!#REF!&gt;'Unit tariffs'!#REF!,'Unit tariffs'!#REF!,+I633*'Unit tariffs'!#REF!)</f>
        <v>#REF!</v>
      </c>
    </row>
    <row r="634" spans="1:10" ht="13" x14ac:dyDescent="0.3">
      <c r="A634" s="91"/>
      <c r="B634" s="85">
        <v>0</v>
      </c>
      <c r="C634" s="74" t="str">
        <f>'Unit tariffs'!B50</f>
        <v>Gland (Pratley No1)</v>
      </c>
      <c r="D634" s="74"/>
      <c r="E634" s="74"/>
      <c r="F634" s="74"/>
      <c r="G634" s="74"/>
      <c r="H634" s="81">
        <v>0</v>
      </c>
      <c r="I634" s="81">
        <f>VLOOKUP($C634,'Unit tariffs'!$B$21:$F$123,5,FALSE)*$B634</f>
        <v>0</v>
      </c>
      <c r="J634" s="457" t="e">
        <f>IF(+I634*'Unit tariffs'!#REF!&gt;'Unit tariffs'!#REF!,'Unit tariffs'!#REF!,+I634*'Unit tariffs'!#REF!)</f>
        <v>#REF!</v>
      </c>
    </row>
    <row r="635" spans="1:10" ht="13" x14ac:dyDescent="0.3">
      <c r="A635" s="91"/>
      <c r="B635" s="74"/>
      <c r="C635" s="74"/>
      <c r="D635" s="74"/>
      <c r="E635" s="74"/>
      <c r="F635" s="74"/>
      <c r="G635" s="74"/>
      <c r="H635" s="76">
        <v>2730.0046741535116</v>
      </c>
      <c r="I635" s="76">
        <f>SUM(I625:I634)</f>
        <v>2424.8362179999995</v>
      </c>
      <c r="J635" s="105"/>
    </row>
    <row r="636" spans="1:10" ht="13" x14ac:dyDescent="0.3">
      <c r="A636" s="91"/>
      <c r="B636" s="104" t="s">
        <v>42</v>
      </c>
      <c r="C636" s="74"/>
      <c r="D636" s="74"/>
      <c r="E636" s="74"/>
      <c r="F636" s="74"/>
      <c r="G636" s="76"/>
      <c r="H636" s="74"/>
      <c r="I636" s="74"/>
      <c r="J636" s="95"/>
    </row>
    <row r="637" spans="1:10" ht="13" x14ac:dyDescent="0.3">
      <c r="A637" s="91"/>
      <c r="B637" s="74"/>
      <c r="C637" s="74"/>
      <c r="D637" s="74"/>
      <c r="E637" s="74"/>
      <c r="F637" s="74"/>
      <c r="G637" s="74"/>
      <c r="H637" s="74"/>
      <c r="I637" s="74"/>
      <c r="J637" s="95"/>
    </row>
    <row r="638" spans="1:10" ht="13" x14ac:dyDescent="0.3">
      <c r="A638" s="91"/>
      <c r="B638" s="74">
        <v>2</v>
      </c>
      <c r="C638" s="74" t="str">
        <f>'Unit tariffs'!B$87</f>
        <v xml:space="preserve">hour-artisan </v>
      </c>
      <c r="D638" s="74"/>
      <c r="E638" s="74"/>
      <c r="F638" s="74"/>
      <c r="G638" s="74"/>
      <c r="H638" s="76">
        <v>645.70446346153847</v>
      </c>
      <c r="I638" s="76">
        <f>VLOOKUP($C638,'Unit tariffs'!$B$21:$F$123,5,FALSE)*$B638</f>
        <v>702.38553230769242</v>
      </c>
      <c r="J638" s="105"/>
    </row>
    <row r="639" spans="1:10" ht="13" x14ac:dyDescent="0.3">
      <c r="A639" s="91"/>
      <c r="B639" s="74">
        <v>8</v>
      </c>
      <c r="C639" s="74" t="str">
        <f>'Unit tariffs'!B$85</f>
        <v>hour-artisan assistant</v>
      </c>
      <c r="D639" s="74"/>
      <c r="E639" s="74"/>
      <c r="F639" s="74"/>
      <c r="G639" s="74"/>
      <c r="H639" s="81">
        <v>1028.2864615384617</v>
      </c>
      <c r="I639" s="81">
        <f>VLOOKUP($C639,'Unit tariffs'!$B$21:$F$123,5,FALSE)*$B639</f>
        <v>1118.5940676923078</v>
      </c>
      <c r="J639" s="105"/>
    </row>
    <row r="640" spans="1:10" ht="13" x14ac:dyDescent="0.3">
      <c r="A640" s="91"/>
      <c r="B640" s="74"/>
      <c r="C640" s="74"/>
      <c r="D640" s="74"/>
      <c r="E640" s="74"/>
      <c r="F640" s="74"/>
      <c r="G640" s="74"/>
      <c r="H640" s="76">
        <v>1673.9909250000001</v>
      </c>
      <c r="I640" s="76">
        <f>SUM(I638:I639)</f>
        <v>1820.9796000000001</v>
      </c>
      <c r="J640" s="105"/>
    </row>
    <row r="641" spans="1:10" ht="13" x14ac:dyDescent="0.3">
      <c r="A641" s="91"/>
      <c r="B641" s="104" t="s">
        <v>43</v>
      </c>
      <c r="C641" s="74"/>
      <c r="D641" s="85"/>
      <c r="E641" s="74"/>
      <c r="F641" s="74"/>
      <c r="G641" s="74"/>
      <c r="H641" s="74"/>
      <c r="I641" s="74"/>
      <c r="J641" s="95"/>
    </row>
    <row r="642" spans="1:10" ht="13" x14ac:dyDescent="0.3">
      <c r="A642" s="91"/>
      <c r="B642" s="74"/>
      <c r="C642" s="74"/>
      <c r="D642" s="74"/>
      <c r="E642" s="74"/>
      <c r="F642" s="74"/>
      <c r="G642" s="74"/>
      <c r="H642" s="74"/>
      <c r="I642" s="74"/>
      <c r="J642" s="95"/>
    </row>
    <row r="643" spans="1:10" ht="13" x14ac:dyDescent="0.3">
      <c r="A643" s="91"/>
      <c r="B643" s="74">
        <v>30</v>
      </c>
      <c r="C643" s="74" t="str">
        <f>'Unit tariffs'!B$111</f>
        <v>km-truck with platform</v>
      </c>
      <c r="D643" s="74"/>
      <c r="E643" s="74"/>
      <c r="F643" s="74"/>
      <c r="G643" s="74"/>
      <c r="H643" s="76">
        <v>1263.6151042727799</v>
      </c>
      <c r="I643" s="76">
        <f>VLOOKUP($C643,'Unit tariffs'!$B$21:$F$123,5,FALSE)*$B643</f>
        <v>1478.4996522648166</v>
      </c>
      <c r="J643" s="105"/>
    </row>
    <row r="644" spans="1:10" ht="13" x14ac:dyDescent="0.3">
      <c r="A644" s="91"/>
      <c r="B644" s="74">
        <f>+B638</f>
        <v>2</v>
      </c>
      <c r="C644" s="74" t="str">
        <f>'Unit tariffs'!B$112</f>
        <v>hour-truck with platform</v>
      </c>
      <c r="D644" s="74"/>
      <c r="E644" s="74"/>
      <c r="F644" s="74"/>
      <c r="G644" s="74"/>
      <c r="H644" s="81">
        <v>409.96883462334625</v>
      </c>
      <c r="I644" s="81">
        <f>VLOOKUP($C644,'Unit tariffs'!$B$21:$F$123,5,FALSE)*$B644</f>
        <v>479.6862409925584</v>
      </c>
      <c r="J644" s="105"/>
    </row>
    <row r="645" spans="1:10" ht="13.5" thickBot="1" x14ac:dyDescent="0.35">
      <c r="A645" s="91"/>
      <c r="B645" s="74"/>
      <c r="C645" s="74"/>
      <c r="D645" s="74"/>
      <c r="E645" s="74"/>
      <c r="F645" s="74"/>
      <c r="G645" s="74"/>
      <c r="H645" s="107">
        <v>1673.5839388961263</v>
      </c>
      <c r="I645" s="107">
        <f>SUM(I643:I644)</f>
        <v>1958.185893257375</v>
      </c>
      <c r="J645" s="105"/>
    </row>
    <row r="646" spans="1:10" ht="13.5" thickTop="1" x14ac:dyDescent="0.3">
      <c r="A646" s="91"/>
      <c r="B646" s="74"/>
      <c r="C646" s="74"/>
      <c r="D646" s="74"/>
      <c r="E646" s="74"/>
      <c r="F646" s="74"/>
      <c r="G646" s="74"/>
      <c r="H646" s="76">
        <v>36777.669288049641</v>
      </c>
      <c r="I646" s="76">
        <f>+I645+I640+I635+I620</f>
        <v>22152.542168760876</v>
      </c>
      <c r="J646" s="105"/>
    </row>
    <row r="647" spans="1:10" ht="13.5" thickBot="1" x14ac:dyDescent="0.35">
      <c r="A647" s="91"/>
      <c r="B647" s="104" t="str">
        <f>'Unit tariffs'!$B$7</f>
        <v>Administration Levy (Indirect Cost)</v>
      </c>
      <c r="C647" s="74"/>
      <c r="D647" s="106">
        <f>'Unit tariffs'!$C$7</f>
        <v>0.1</v>
      </c>
      <c r="E647" s="74" t="s">
        <v>311</v>
      </c>
      <c r="F647" s="186">
        <f>+'Unit tariffs'!$F$7</f>
        <v>10000</v>
      </c>
      <c r="G647" s="74" t="s">
        <v>44</v>
      </c>
      <c r="H647" s="108">
        <v>3677.7669288049642</v>
      </c>
      <c r="I647" s="108">
        <f>IF(I646*$D647&gt;='Unit tariffs'!$E$7,'Unit tariffs'!$E$7,I646*$D647)</f>
        <v>2215.2542168760879</v>
      </c>
      <c r="J647" s="105"/>
    </row>
    <row r="648" spans="1:10" ht="13.5" thickTop="1" x14ac:dyDescent="0.3">
      <c r="A648" s="91"/>
      <c r="B648" s="104" t="s">
        <v>44</v>
      </c>
      <c r="C648" s="74"/>
      <c r="D648" s="74"/>
      <c r="E648" s="74"/>
      <c r="F648" s="74"/>
      <c r="G648" s="76"/>
      <c r="H648" s="109">
        <v>40455.436216854607</v>
      </c>
      <c r="I648" s="109">
        <f>SUM(I646:I647)</f>
        <v>24367.796385636964</v>
      </c>
      <c r="J648" s="105"/>
    </row>
    <row r="649" spans="1:10" ht="13" x14ac:dyDescent="0.3">
      <c r="A649" s="91"/>
      <c r="B649" s="104"/>
      <c r="C649" s="74"/>
      <c r="D649" s="74"/>
      <c r="E649" s="74"/>
      <c r="F649" s="74"/>
      <c r="G649" s="76"/>
      <c r="H649" s="76"/>
      <c r="I649" s="76"/>
      <c r="J649" s="105"/>
    </row>
    <row r="650" spans="1:10" ht="13" x14ac:dyDescent="0.3">
      <c r="A650" s="91"/>
      <c r="B650" s="104" t="s">
        <v>45</v>
      </c>
      <c r="C650" s="74"/>
      <c r="D650" s="74"/>
      <c r="E650" s="74"/>
      <c r="F650" s="74"/>
      <c r="G650" s="76"/>
      <c r="H650" s="84">
        <v>40460</v>
      </c>
      <c r="I650" s="84">
        <f>ROUND(I648,-1)</f>
        <v>24370</v>
      </c>
      <c r="J650" s="110"/>
    </row>
    <row r="651" spans="1:10" ht="13" x14ac:dyDescent="0.3">
      <c r="A651" s="91"/>
      <c r="B651" s="104"/>
      <c r="C651" s="74"/>
      <c r="D651" s="74"/>
      <c r="E651" s="74"/>
      <c r="F651" s="74"/>
      <c r="G651" s="76"/>
      <c r="H651" s="84"/>
      <c r="I651" s="84"/>
      <c r="J651" s="110"/>
    </row>
    <row r="652" spans="1:10" ht="13" x14ac:dyDescent="0.3">
      <c r="A652" s="91"/>
      <c r="B652" s="74"/>
      <c r="C652" s="74"/>
      <c r="D652" s="74"/>
      <c r="E652" s="74"/>
      <c r="F652" s="74"/>
      <c r="G652" s="74"/>
      <c r="H652" s="112">
        <v>0</v>
      </c>
      <c r="I652" s="112">
        <f>(I650-H650)/H650</f>
        <v>-0.39767671774592189</v>
      </c>
      <c r="J652" s="110"/>
    </row>
    <row r="653" spans="1:10" ht="13" x14ac:dyDescent="0.3">
      <c r="A653" s="91"/>
      <c r="B653" s="104"/>
      <c r="C653" s="74"/>
      <c r="D653" s="74"/>
      <c r="E653" s="74"/>
      <c r="F653" s="74"/>
      <c r="G653" s="76"/>
      <c r="H653" s="84"/>
      <c r="I653" s="84"/>
      <c r="J653" s="110"/>
    </row>
    <row r="654" spans="1:10" ht="13.5" thickBot="1" x14ac:dyDescent="0.35">
      <c r="A654" s="448"/>
      <c r="B654" s="796"/>
      <c r="C654" s="123"/>
      <c r="D654" s="123"/>
      <c r="E654" s="123"/>
      <c r="F654" s="123"/>
      <c r="G654" s="108"/>
      <c r="H654" s="797"/>
      <c r="I654" s="797"/>
      <c r="J654" s="110"/>
    </row>
    <row r="655" spans="1:10" ht="13.5" thickTop="1" x14ac:dyDescent="0.3">
      <c r="A655" s="91"/>
      <c r="B655" s="104"/>
      <c r="C655" s="74"/>
      <c r="D655" s="74"/>
      <c r="E655" s="74"/>
      <c r="F655" s="74"/>
      <c r="G655" s="76"/>
      <c r="H655" s="84"/>
      <c r="I655" s="84"/>
      <c r="J655" s="110"/>
    </row>
    <row r="656" spans="1:10" ht="13" x14ac:dyDescent="0.3">
      <c r="A656" s="91"/>
      <c r="E656" s="74"/>
      <c r="F656" s="74"/>
      <c r="G656" s="74"/>
      <c r="H656" s="74"/>
      <c r="I656" s="74"/>
      <c r="J656" s="105"/>
    </row>
    <row r="657" spans="1:10" ht="39.75" customHeight="1" x14ac:dyDescent="0.3">
      <c r="A657" s="91"/>
      <c r="B657" s="966" t="s">
        <v>641</v>
      </c>
      <c r="C657" s="967"/>
      <c r="D657" s="967"/>
      <c r="E657" s="967"/>
      <c r="F657" s="967"/>
      <c r="G657" s="968"/>
      <c r="H657" s="131"/>
      <c r="I657" s="131"/>
      <c r="J657" s="113"/>
    </row>
    <row r="658" spans="1:10" ht="13" x14ac:dyDescent="0.3">
      <c r="A658" s="91"/>
      <c r="B658" s="794"/>
      <c r="C658" s="794"/>
      <c r="D658" s="794"/>
      <c r="E658" s="794"/>
      <c r="F658" s="794"/>
      <c r="G658" s="794"/>
      <c r="H658" s="131"/>
      <c r="I658" s="131"/>
      <c r="J658" s="113"/>
    </row>
    <row r="659" spans="1:10" ht="13" x14ac:dyDescent="0.3">
      <c r="A659" s="91"/>
      <c r="B659" s="794"/>
      <c r="C659" s="794"/>
      <c r="D659" s="794"/>
      <c r="E659" s="794"/>
      <c r="F659" s="794"/>
      <c r="G659" s="794"/>
      <c r="H659" s="131"/>
      <c r="I659" s="131"/>
      <c r="J659" s="113"/>
    </row>
    <row r="660" spans="1:10" ht="13" x14ac:dyDescent="0.3">
      <c r="A660" s="91"/>
      <c r="B660" s="104" t="s">
        <v>41</v>
      </c>
      <c r="C660" s="74"/>
      <c r="D660" s="74"/>
      <c r="E660" s="74"/>
      <c r="F660" s="74"/>
      <c r="G660" s="74"/>
      <c r="H660" s="76"/>
      <c r="I660" s="76"/>
      <c r="J660" s="113"/>
    </row>
    <row r="661" spans="1:10" ht="13" x14ac:dyDescent="0.3">
      <c r="A661" s="91"/>
      <c r="B661" s="74">
        <v>1</v>
      </c>
      <c r="C661" s="74" t="str">
        <f>+'Unit tariffs'!B34</f>
        <v>METER:S/P WIRED PRE-PAID</v>
      </c>
      <c r="D661" s="74"/>
      <c r="E661" s="74"/>
      <c r="F661" s="74"/>
      <c r="G661" s="74"/>
      <c r="H661" s="76">
        <v>2262.7591214051877</v>
      </c>
      <c r="I661" s="76">
        <f>VLOOKUP($C661,'Unit tariffs'!$B$21:$F$123,5,FALSE)*$B661</f>
        <v>2142.3529679999997</v>
      </c>
      <c r="J661" s="113"/>
    </row>
    <row r="662" spans="1:10" ht="13" x14ac:dyDescent="0.3">
      <c r="A662" s="91"/>
      <c r="B662" s="74">
        <v>1</v>
      </c>
      <c r="C662" s="74" t="str">
        <f>+'Unit tariffs'!B43</f>
        <v>x 80 A circuit breaker (5kA) - Orange</v>
      </c>
      <c r="D662" s="74"/>
      <c r="E662" s="74"/>
      <c r="F662" s="74"/>
      <c r="G662" s="74"/>
      <c r="H662" s="76">
        <v>195.804552748324</v>
      </c>
      <c r="I662" s="76">
        <f>VLOOKUP($C662,'Unit tariffs'!$B$21:$F$123,5,FALSE)*$B662</f>
        <v>0</v>
      </c>
      <c r="J662" s="113"/>
    </row>
    <row r="663" spans="1:10" ht="13" x14ac:dyDescent="0.3">
      <c r="A663" s="91"/>
      <c r="B663" s="74">
        <v>1</v>
      </c>
      <c r="C663" s="74" t="str">
        <f>+'Unit tariffs'!B21</f>
        <v>Installation material</v>
      </c>
      <c r="D663" s="74"/>
      <c r="E663" s="74"/>
      <c r="F663" s="74"/>
      <c r="G663" s="74"/>
      <c r="H663" s="81">
        <v>271.44100000000003</v>
      </c>
      <c r="I663" s="81">
        <f>VLOOKUP($C663,'Unit tariffs'!$B$21:$F$123,5,FALSE)*$B663</f>
        <v>282.48325</v>
      </c>
      <c r="J663" s="113"/>
    </row>
    <row r="664" spans="1:10" ht="13" x14ac:dyDescent="0.3">
      <c r="A664" s="91"/>
      <c r="B664" s="74"/>
      <c r="C664" s="74"/>
      <c r="D664" s="74"/>
      <c r="E664" s="74"/>
      <c r="F664" s="74"/>
      <c r="G664" s="74"/>
      <c r="H664" s="76">
        <v>2730.0046741535116</v>
      </c>
      <c r="I664" s="76">
        <f>SUM(I661:I663)</f>
        <v>2424.8362179999995</v>
      </c>
      <c r="J664" s="113"/>
    </row>
    <row r="665" spans="1:10" ht="13" x14ac:dyDescent="0.3">
      <c r="A665" s="91"/>
      <c r="B665" s="104" t="s">
        <v>42</v>
      </c>
      <c r="C665" s="74"/>
      <c r="D665" s="74"/>
      <c r="E665" s="74"/>
      <c r="F665" s="74"/>
      <c r="G665" s="74"/>
      <c r="H665" s="74"/>
      <c r="I665" s="74"/>
      <c r="J665" s="113"/>
    </row>
    <row r="666" spans="1:10" ht="13" x14ac:dyDescent="0.3">
      <c r="A666" s="91"/>
      <c r="B666" s="74"/>
      <c r="C666" s="74"/>
      <c r="D666" s="74"/>
      <c r="E666" s="74"/>
      <c r="F666" s="74"/>
      <c r="G666" s="74"/>
      <c r="H666" s="74"/>
      <c r="I666" s="74"/>
      <c r="J666" s="113"/>
    </row>
    <row r="667" spans="1:10" ht="13" x14ac:dyDescent="0.3">
      <c r="A667" s="91"/>
      <c r="B667" s="74">
        <v>0.8</v>
      </c>
      <c r="C667" s="74" t="str">
        <f>'Unit tariffs'!B$87</f>
        <v xml:space="preserve">hour-artisan </v>
      </c>
      <c r="D667" s="74"/>
      <c r="E667" s="74"/>
      <c r="F667" s="74"/>
      <c r="G667" s="74"/>
      <c r="H667" s="76">
        <v>258.28178538461538</v>
      </c>
      <c r="I667" s="76">
        <f>VLOOKUP($C667,'Unit tariffs'!$B$21:$F$123,5,FALSE)*$B667</f>
        <v>280.95421292307697</v>
      </c>
      <c r="J667" s="113"/>
    </row>
    <row r="668" spans="1:10" ht="13" x14ac:dyDescent="0.3">
      <c r="A668" s="91"/>
      <c r="B668" s="74">
        <v>1.6</v>
      </c>
      <c r="C668" s="74" t="str">
        <f>'Unit tariffs'!B$85</f>
        <v>hour-artisan assistant</v>
      </c>
      <c r="D668" s="74"/>
      <c r="E668" s="74"/>
      <c r="F668" s="74"/>
      <c r="G668" s="74"/>
      <c r="H668" s="81">
        <v>205.65729230769236</v>
      </c>
      <c r="I668" s="81">
        <f>VLOOKUP($C668,'Unit tariffs'!$B$21:$F$123,5,FALSE)*$B668</f>
        <v>223.71881353846157</v>
      </c>
      <c r="J668" s="113"/>
    </row>
    <row r="669" spans="1:10" ht="13" x14ac:dyDescent="0.3">
      <c r="A669" s="91"/>
      <c r="B669" s="74"/>
      <c r="C669" s="74"/>
      <c r="D669" s="74"/>
      <c r="E669" s="74"/>
      <c r="F669" s="74"/>
      <c r="G669" s="74"/>
      <c r="H669" s="76">
        <v>463.93907769230771</v>
      </c>
      <c r="I669" s="76">
        <f>SUM(I667:I668)</f>
        <v>504.67302646153854</v>
      </c>
      <c r="J669" s="113"/>
    </row>
    <row r="670" spans="1:10" ht="13" x14ac:dyDescent="0.3">
      <c r="A670" s="91"/>
      <c r="B670" s="104" t="s">
        <v>43</v>
      </c>
      <c r="C670" s="74"/>
      <c r="D670" s="74"/>
      <c r="E670" s="74"/>
      <c r="F670" s="74"/>
      <c r="G670" s="74"/>
      <c r="H670" s="74"/>
      <c r="I670" s="74"/>
      <c r="J670" s="113"/>
    </row>
    <row r="671" spans="1:10" ht="13" x14ac:dyDescent="0.3">
      <c r="A671" s="91"/>
      <c r="B671" s="74"/>
      <c r="C671" s="74"/>
      <c r="D671" s="74"/>
      <c r="E671" s="74"/>
      <c r="F671" s="74"/>
      <c r="G671" s="74"/>
      <c r="H671" s="74"/>
      <c r="I671" s="74"/>
      <c r="J671" s="113"/>
    </row>
    <row r="672" spans="1:10" ht="13" x14ac:dyDescent="0.3">
      <c r="A672" s="91"/>
      <c r="B672" s="74">
        <v>24</v>
      </c>
      <c r="C672" s="74" t="str">
        <f>'Unit tariffs'!B$111</f>
        <v>km-truck with platform</v>
      </c>
      <c r="D672" s="74"/>
      <c r="E672" s="74"/>
      <c r="F672" s="74"/>
      <c r="G672" s="74"/>
      <c r="H672" s="76">
        <v>1010.8920834182238</v>
      </c>
      <c r="I672" s="76">
        <f>VLOOKUP($C672,'Unit tariffs'!$B$21:$F$123,5,FALSE)*$B672</f>
        <v>1182.7997218118533</v>
      </c>
      <c r="J672" s="113"/>
    </row>
    <row r="673" spans="1:10" ht="13" x14ac:dyDescent="0.3">
      <c r="A673" s="91"/>
      <c r="B673" s="74">
        <v>1</v>
      </c>
      <c r="C673" s="74" t="str">
        <f>'Unit tariffs'!B$112</f>
        <v>hour-truck with platform</v>
      </c>
      <c r="D673" s="74"/>
      <c r="E673" s="74"/>
      <c r="F673" s="74"/>
      <c r="G673" s="74"/>
      <c r="H673" s="81">
        <v>204.98441731167313</v>
      </c>
      <c r="I673" s="81">
        <f>VLOOKUP($C673,'Unit tariffs'!$B$21:$F$123,5,FALSE)*$B673</f>
        <v>239.8431204962792</v>
      </c>
      <c r="J673" s="113"/>
    </row>
    <row r="674" spans="1:10" ht="13.5" thickBot="1" x14ac:dyDescent="0.35">
      <c r="A674" s="91"/>
      <c r="B674" s="74"/>
      <c r="C674" s="74"/>
      <c r="D674" s="74"/>
      <c r="E674" s="74"/>
      <c r="F674" s="74"/>
      <c r="G674" s="74"/>
      <c r="H674" s="710">
        <v>1215.8765007298969</v>
      </c>
      <c r="I674" s="710">
        <f>SUM(I672:I673)</f>
        <v>1422.6428423081325</v>
      </c>
      <c r="J674" s="113"/>
    </row>
    <row r="675" spans="1:10" ht="13.5" thickTop="1" x14ac:dyDescent="0.3">
      <c r="A675" s="91"/>
      <c r="B675" s="74"/>
      <c r="C675" s="74"/>
      <c r="D675" s="74"/>
      <c r="E675" s="74"/>
      <c r="F675" s="74"/>
      <c r="G675" s="74"/>
      <c r="H675" s="189">
        <f>H664+H669+H674</f>
        <v>4409.820252575716</v>
      </c>
      <c r="I675" s="189">
        <f>I664+I669+I674</f>
        <v>4352.1520867696709</v>
      </c>
      <c r="J675" s="113"/>
    </row>
    <row r="676" spans="1:10" ht="13.5" thickBot="1" x14ac:dyDescent="0.35">
      <c r="A676" s="91"/>
      <c r="B676" s="104" t="str">
        <f>'Unit tariffs'!$B$7</f>
        <v>Administration Levy (Indirect Cost)</v>
      </c>
      <c r="C676" s="74"/>
      <c r="D676" s="106">
        <f>'Unit tariffs'!$C$7</f>
        <v>0.1</v>
      </c>
      <c r="E676" s="74" t="s">
        <v>311</v>
      </c>
      <c r="F676" s="186">
        <f>+'Unit tariffs'!$F$7</f>
        <v>10000</v>
      </c>
      <c r="G676" s="74"/>
      <c r="H676" s="343">
        <v>1768.468185257572</v>
      </c>
      <c r="I676" s="343">
        <f>IF(I675*$D676&gt;='Unit tariffs'!$E$7,'Unit tariffs'!$E$7,I675*$D676)</f>
        <v>435.21520867696711</v>
      </c>
      <c r="J676" s="113"/>
    </row>
    <row r="677" spans="1:10" ht="13.5" thickTop="1" x14ac:dyDescent="0.3">
      <c r="A677" s="91"/>
      <c r="B677" s="104" t="s">
        <v>44</v>
      </c>
      <c r="C677" s="74"/>
      <c r="D677" s="74"/>
      <c r="E677" s="74"/>
      <c r="F677" s="74"/>
      <c r="G677" s="74"/>
      <c r="H677" s="346">
        <f>H675+H676</f>
        <v>6178.2884378332883</v>
      </c>
      <c r="I677" s="346">
        <f>SUM(I675:I676)</f>
        <v>4787.3672954466383</v>
      </c>
      <c r="J677" s="113"/>
    </row>
    <row r="678" spans="1:10" ht="13" x14ac:dyDescent="0.3">
      <c r="A678" s="91"/>
      <c r="B678" s="74"/>
      <c r="C678" s="74"/>
      <c r="D678" s="74"/>
      <c r="E678" s="74"/>
      <c r="F678" s="74"/>
      <c r="G678" s="74"/>
      <c r="H678" s="74"/>
      <c r="I678" s="74"/>
      <c r="J678" s="113"/>
    </row>
    <row r="679" spans="1:10" ht="13" x14ac:dyDescent="0.3">
      <c r="A679" s="91"/>
      <c r="B679" s="104" t="s">
        <v>45</v>
      </c>
      <c r="C679" s="74"/>
      <c r="D679" s="74"/>
      <c r="E679" s="74"/>
      <c r="F679" s="74"/>
      <c r="G679" s="74"/>
      <c r="H679" s="84">
        <v>6178</v>
      </c>
      <c r="I679" s="84">
        <f>ROUND(I677,-1)</f>
        <v>4790</v>
      </c>
      <c r="J679" s="113"/>
    </row>
    <row r="680" spans="1:10" ht="13" x14ac:dyDescent="0.3">
      <c r="A680" s="91"/>
      <c r="B680" s="74"/>
      <c r="C680" s="74"/>
      <c r="D680" s="74"/>
      <c r="E680" s="74"/>
      <c r="F680" s="74"/>
      <c r="G680" s="74"/>
      <c r="H680" s="76"/>
      <c r="I680" s="76"/>
      <c r="J680" s="113"/>
    </row>
    <row r="681" spans="1:10" ht="13" x14ac:dyDescent="0.3">
      <c r="A681" s="91"/>
      <c r="B681" s="74"/>
      <c r="C681" s="74"/>
      <c r="D681" s="74"/>
      <c r="E681" s="74"/>
      <c r="F681" s="74"/>
      <c r="G681" s="74"/>
      <c r="H681" s="112">
        <v>3.0103092783505199</v>
      </c>
      <c r="I681" s="112">
        <f>(+I679-H679)/H679</f>
        <v>-0.22466817740369052</v>
      </c>
      <c r="J681" s="113"/>
    </row>
    <row r="682" spans="1:10" ht="13" x14ac:dyDescent="0.3">
      <c r="A682" s="91"/>
      <c r="B682" s="794"/>
      <c r="C682" s="794"/>
      <c r="D682" s="794"/>
      <c r="E682" s="794"/>
      <c r="F682" s="794"/>
      <c r="G682" s="794"/>
      <c r="H682" s="131"/>
      <c r="I682" s="131"/>
      <c r="J682" s="113"/>
    </row>
    <row r="683" spans="1:10" ht="13.5" thickBot="1" x14ac:dyDescent="0.35">
      <c r="A683" s="448"/>
      <c r="B683" s="798"/>
      <c r="C683" s="798"/>
      <c r="D683" s="798"/>
      <c r="E683" s="798"/>
      <c r="F683" s="798"/>
      <c r="G683" s="798"/>
      <c r="H683" s="799"/>
      <c r="I683" s="799"/>
      <c r="J683" s="113"/>
    </row>
    <row r="684" spans="1:10" ht="14" thickTop="1" thickBot="1" x14ac:dyDescent="0.35">
      <c r="A684" s="800"/>
      <c r="B684" s="801"/>
      <c r="C684" s="801"/>
      <c r="D684" s="801"/>
      <c r="E684" s="801"/>
      <c r="F684" s="801"/>
      <c r="G684" s="801"/>
      <c r="H684" s="802"/>
      <c r="I684" s="802"/>
      <c r="J684" s="113"/>
    </row>
    <row r="685" spans="1:10" ht="13.5" thickTop="1" x14ac:dyDescent="0.3">
      <c r="A685" s="91"/>
      <c r="B685" s="74"/>
      <c r="C685" s="74"/>
      <c r="D685" s="74"/>
      <c r="E685" s="74"/>
      <c r="F685" s="74"/>
      <c r="G685" s="74"/>
      <c r="H685" s="74"/>
      <c r="I685" s="74"/>
      <c r="J685" s="95"/>
    </row>
    <row r="686" spans="1:10" ht="13" x14ac:dyDescent="0.3">
      <c r="A686" s="91"/>
      <c r="B686" s="92" t="s">
        <v>459</v>
      </c>
      <c r="C686" s="93"/>
      <c r="D686" s="93"/>
      <c r="E686" s="93"/>
      <c r="F686" s="93"/>
      <c r="G686" s="94"/>
      <c r="H686" s="74"/>
      <c r="I686" s="74"/>
      <c r="J686" s="95"/>
    </row>
    <row r="687" spans="1:10" ht="13" x14ac:dyDescent="0.3">
      <c r="A687" s="91"/>
      <c r="B687" s="104"/>
      <c r="C687" s="74"/>
      <c r="D687" s="74"/>
      <c r="E687" s="74"/>
      <c r="F687" s="74"/>
      <c r="G687" s="74"/>
      <c r="H687" s="74"/>
      <c r="I687" s="74"/>
      <c r="J687" s="95"/>
    </row>
    <row r="688" spans="1:10" ht="25.5" customHeight="1" x14ac:dyDescent="0.3">
      <c r="A688" s="91"/>
      <c r="B688" s="931" t="s">
        <v>521</v>
      </c>
      <c r="C688" s="932"/>
      <c r="D688" s="932"/>
      <c r="E688" s="932"/>
      <c r="F688" s="932"/>
      <c r="G688" s="933"/>
      <c r="H688" s="74"/>
      <c r="I688" s="74"/>
      <c r="J688" s="95"/>
    </row>
    <row r="689" spans="1:12" ht="13" x14ac:dyDescent="0.3">
      <c r="A689" s="91"/>
      <c r="B689" s="104"/>
      <c r="C689" s="74"/>
      <c r="D689" s="74"/>
      <c r="E689" s="74"/>
      <c r="F689" s="74"/>
      <c r="G689" s="74"/>
      <c r="H689" s="74"/>
      <c r="I689" s="74"/>
      <c r="J689" s="95"/>
    </row>
    <row r="690" spans="1:12" ht="14.25" customHeight="1" x14ac:dyDescent="0.3">
      <c r="A690" s="91"/>
      <c r="B690" s="74"/>
      <c r="C690" s="74"/>
      <c r="D690" s="74"/>
      <c r="E690" s="74"/>
      <c r="F690" s="74"/>
      <c r="G690" s="74"/>
      <c r="H690" s="74"/>
      <c r="I690" s="74"/>
      <c r="J690" s="95"/>
    </row>
    <row r="691" spans="1:12" ht="28.5" customHeight="1" x14ac:dyDescent="0.3">
      <c r="A691" s="91"/>
      <c r="B691" s="931" t="s">
        <v>519</v>
      </c>
      <c r="C691" s="932"/>
      <c r="D691" s="932"/>
      <c r="E691" s="932"/>
      <c r="F691" s="932"/>
      <c r="G691" s="933"/>
      <c r="H691" s="131" t="s">
        <v>242</v>
      </c>
      <c r="I691" s="131" t="s">
        <v>242</v>
      </c>
      <c r="J691" s="95"/>
    </row>
    <row r="692" spans="1:12" ht="13" x14ac:dyDescent="0.3">
      <c r="A692" s="91"/>
      <c r="B692" s="126"/>
      <c r="C692" s="126"/>
      <c r="D692" s="126"/>
      <c r="E692" s="126"/>
      <c r="F692" s="126"/>
      <c r="G692" s="126"/>
      <c r="H692" s="74"/>
      <c r="I692" s="74"/>
      <c r="J692" s="95"/>
    </row>
    <row r="693" spans="1:12" ht="13" x14ac:dyDescent="0.3">
      <c r="A693" s="91"/>
      <c r="B693" s="74"/>
      <c r="C693" s="74"/>
      <c r="D693" s="74"/>
      <c r="E693" s="74"/>
      <c r="F693" s="74"/>
      <c r="G693" s="74"/>
      <c r="H693" s="103" t="str">
        <f>+'Unit tariffs'!$F$11</f>
        <v>2026/2027</v>
      </c>
      <c r="I693" s="103" t="str">
        <f>+'Unit tariffs'!$F$11</f>
        <v>2026/2027</v>
      </c>
      <c r="J693" s="444" t="s">
        <v>313</v>
      </c>
    </row>
    <row r="694" spans="1:12" ht="13" x14ac:dyDescent="0.3">
      <c r="A694" s="91"/>
      <c r="B694" s="104" t="s">
        <v>117</v>
      </c>
      <c r="C694" s="74"/>
      <c r="D694" s="74"/>
      <c r="E694" s="74"/>
      <c r="F694" s="74"/>
      <c r="G694" s="74"/>
      <c r="H694" s="74"/>
      <c r="I694" s="74"/>
      <c r="J694" s="95"/>
    </row>
    <row r="695" spans="1:12" ht="13" x14ac:dyDescent="0.3">
      <c r="A695" s="91"/>
      <c r="B695" s="74" t="s">
        <v>118</v>
      </c>
      <c r="C695" s="74"/>
      <c r="D695" s="74"/>
      <c r="E695" s="74"/>
      <c r="F695" s="74"/>
      <c r="G695" s="74"/>
      <c r="H695" s="74"/>
      <c r="I695" s="74"/>
      <c r="J695" s="95"/>
    </row>
    <row r="696" spans="1:12" ht="13" x14ac:dyDescent="0.3">
      <c r="A696" s="91"/>
      <c r="B696" s="74">
        <v>7.5</v>
      </c>
      <c r="C696" s="20" t="s">
        <v>123</v>
      </c>
      <c r="D696" s="74"/>
      <c r="E696" s="74"/>
      <c r="F696" s="74" t="str">
        <f>'Unit tariffs'!C$131</f>
        <v>per kVA</v>
      </c>
      <c r="G696" s="74"/>
      <c r="H696" s="76">
        <v>9528.2055000000018</v>
      </c>
      <c r="I696" s="76">
        <f>'Unit tariffs'!F137*'Calc Sheet 23_24'!B696</f>
        <v>10766.233825231502</v>
      </c>
      <c r="J696" s="95"/>
    </row>
    <row r="697" spans="1:12" ht="13" x14ac:dyDescent="0.3">
      <c r="A697" s="91"/>
      <c r="B697" s="74">
        <v>7.5</v>
      </c>
      <c r="C697" s="74" t="str">
        <f>'[1]Unit tariffs'!B$126</f>
        <v>Secondary Backbone - MV Peri Urban</v>
      </c>
      <c r="D697" s="74"/>
      <c r="E697" s="74"/>
      <c r="F697" s="74" t="str">
        <f>'Unit tariffs'!C$131</f>
        <v>per kVA</v>
      </c>
      <c r="G697" s="74"/>
      <c r="H697" s="76">
        <v>8018.2162500000013</v>
      </c>
      <c r="I697" s="76">
        <f>B697*'Unit tariffs'!F138</f>
        <v>9060.0471420112499</v>
      </c>
      <c r="J697" s="95"/>
    </row>
    <row r="698" spans="1:12" ht="13" x14ac:dyDescent="0.3">
      <c r="A698" s="91" t="s">
        <v>1</v>
      </c>
      <c r="B698" s="85">
        <v>7.5</v>
      </c>
      <c r="C698" s="709" t="str">
        <f>'Unit tariffs'!B139</f>
        <v>Secondary Backbone - LV Peri Urban</v>
      </c>
      <c r="D698" s="85"/>
      <c r="E698" s="85"/>
      <c r="F698" s="85" t="str">
        <f>'Unit tariffs'!C$133</f>
        <v>per kVA</v>
      </c>
      <c r="G698" s="85"/>
      <c r="H698" s="708">
        <v>13153.668000000003</v>
      </c>
      <c r="I698" s="708">
        <f>B698*'Unit tariffs'!F139</f>
        <v>14862.763544244002</v>
      </c>
      <c r="J698" s="95"/>
      <c r="L698" s="86">
        <f>I698/B698</f>
        <v>1981.7018058992003</v>
      </c>
    </row>
    <row r="699" spans="1:12" ht="13" x14ac:dyDescent="0.3">
      <c r="A699" s="91"/>
      <c r="B699" s="74"/>
      <c r="C699" s="74"/>
      <c r="D699" s="74"/>
      <c r="E699" s="74"/>
      <c r="F699" s="74"/>
      <c r="G699" s="74"/>
      <c r="H699" s="76">
        <v>30700.089750000006</v>
      </c>
      <c r="I699" s="76">
        <f>SUM(I696:I698)</f>
        <v>34689.044511486754</v>
      </c>
      <c r="J699" s="95"/>
    </row>
    <row r="700" spans="1:12" ht="13" x14ac:dyDescent="0.3">
      <c r="A700" s="91"/>
      <c r="B700" s="74"/>
      <c r="C700" s="74"/>
      <c r="D700" s="74"/>
      <c r="E700" s="74"/>
      <c r="F700" s="74"/>
      <c r="G700" s="74"/>
      <c r="H700" s="76"/>
      <c r="I700" s="76"/>
      <c r="J700" s="95"/>
    </row>
    <row r="701" spans="1:12" ht="13" x14ac:dyDescent="0.3">
      <c r="A701" s="91"/>
      <c r="B701" s="104" t="s">
        <v>41</v>
      </c>
      <c r="C701" s="74"/>
      <c r="D701" s="74"/>
      <c r="E701" s="74"/>
      <c r="F701" s="74"/>
      <c r="G701" s="74"/>
      <c r="H701" s="76"/>
      <c r="I701" s="76"/>
      <c r="J701" s="95"/>
    </row>
    <row r="702" spans="1:12" ht="13" x14ac:dyDescent="0.3">
      <c r="A702" s="91"/>
      <c r="B702" s="104"/>
      <c r="C702" s="74"/>
      <c r="D702" s="74"/>
      <c r="E702" s="74"/>
      <c r="F702" s="74"/>
      <c r="G702" s="74"/>
      <c r="H702" s="76"/>
      <c r="I702" s="76"/>
      <c r="J702" s="95"/>
    </row>
    <row r="703" spans="1:12" ht="13" x14ac:dyDescent="0.3">
      <c r="A703" s="91"/>
      <c r="B703" s="104">
        <v>1</v>
      </c>
      <c r="C703" t="str">
        <f>'Unit tariffs'!B46</f>
        <v>METER: TIME OF USE 100 AMP</v>
      </c>
      <c r="D703" s="74"/>
      <c r="E703" s="74"/>
      <c r="F703" s="85"/>
      <c r="G703" s="74"/>
      <c r="H703" s="76">
        <v>5538.1406043608804</v>
      </c>
      <c r="I703" s="76">
        <f>VLOOKUP($C703,'Unit tariffs'!$B$21:$F$123,5,FALSE)*$B703</f>
        <v>0</v>
      </c>
      <c r="J703" s="457" t="e">
        <f>IF(+I703*'Unit tariffs'!#REF!&gt;'Unit tariffs'!#REF!,'Unit tariffs'!#REF!,+I703*'Unit tariffs'!#REF!)</f>
        <v>#REF!</v>
      </c>
    </row>
    <row r="704" spans="1:12" ht="13" x14ac:dyDescent="0.3">
      <c r="A704" s="91"/>
      <c r="B704" s="104">
        <v>1</v>
      </c>
      <c r="C704" s="74" t="str">
        <f>+'Unit tariffs'!B47</f>
        <v>Modum for TOU meter</v>
      </c>
      <c r="D704" s="74"/>
      <c r="E704" s="74"/>
      <c r="F704" s="74"/>
      <c r="G704" s="74"/>
      <c r="H704" s="76">
        <v>3707.5418271871995</v>
      </c>
      <c r="I704" s="76">
        <f>VLOOKUP($C704,'Unit tariffs'!$B$21:$F$123,5,FALSE)*$B704</f>
        <v>338.07595359999993</v>
      </c>
      <c r="J704" s="457" t="e">
        <f>IF(+I704*'Unit tariffs'!#REF!&gt;'Unit tariffs'!#REF!,'Unit tariffs'!#REF!,+I704*'Unit tariffs'!#REF!)</f>
        <v>#REF!</v>
      </c>
    </row>
    <row r="705" spans="1:10" ht="13" x14ac:dyDescent="0.3">
      <c r="A705" s="91"/>
      <c r="B705" s="104">
        <v>3</v>
      </c>
      <c r="C705" s="74" t="s">
        <v>99</v>
      </c>
      <c r="D705" s="74"/>
      <c r="E705" s="74"/>
      <c r="F705" s="74"/>
      <c r="G705" s="74"/>
      <c r="H705" s="76">
        <v>587.413658244972</v>
      </c>
      <c r="I705" s="76">
        <f>VLOOKUP($C705,'Unit tariffs'!$B$21:$F$123,5,FALSE)*$B705</f>
        <v>0</v>
      </c>
      <c r="J705" s="457" t="e">
        <f>IF(+I705*'Unit tariffs'!#REF!&gt;'Unit tariffs'!#REF!,'Unit tariffs'!#REF!,+I705*'Unit tariffs'!#REF!)</f>
        <v>#REF!</v>
      </c>
    </row>
    <row r="706" spans="1:10" ht="13" x14ac:dyDescent="0.3">
      <c r="A706" s="91"/>
      <c r="B706" s="104">
        <v>0</v>
      </c>
      <c r="C706" s="74" t="s">
        <v>143</v>
      </c>
      <c r="D706" s="74"/>
      <c r="E706" s="74"/>
      <c r="F706" s="74"/>
      <c r="G706" s="74"/>
      <c r="H706" s="76">
        <v>0</v>
      </c>
      <c r="I706" s="76">
        <f>VLOOKUP($C706,'Unit tariffs'!$B$21:$F$123,5,FALSE)*$B706</f>
        <v>0</v>
      </c>
      <c r="J706" s="457" t="e">
        <f>IF(+I706*'Unit tariffs'!#REF!&gt;'Unit tariffs'!#REF!,'Unit tariffs'!#REF!,+I706*'Unit tariffs'!#REF!)</f>
        <v>#REF!</v>
      </c>
    </row>
    <row r="707" spans="1:10" ht="13" x14ac:dyDescent="0.3">
      <c r="A707" s="91"/>
      <c r="B707" s="707">
        <v>0</v>
      </c>
      <c r="C707" s="74" t="s">
        <v>17</v>
      </c>
      <c r="D707" s="74"/>
      <c r="E707" s="74"/>
      <c r="F707" s="74"/>
      <c r="G707" s="74"/>
      <c r="H707" s="76">
        <v>0</v>
      </c>
      <c r="I707" s="76">
        <f>VLOOKUP($C707,'Unit tariffs'!$B$21:$F$123,5,FALSE)*$B707</f>
        <v>0</v>
      </c>
      <c r="J707" s="457" t="e">
        <f>IF(+I707*'Unit tariffs'!#REF!&gt;'Unit tariffs'!#REF!,'Unit tariffs'!#REF!,+I707*'Unit tariffs'!#REF!)</f>
        <v>#REF!</v>
      </c>
    </row>
    <row r="708" spans="1:10" ht="13" x14ac:dyDescent="0.3">
      <c r="A708" s="91"/>
      <c r="B708" s="707">
        <v>0</v>
      </c>
      <c r="C708" s="74" t="s">
        <v>476</v>
      </c>
      <c r="D708" s="74"/>
      <c r="E708" s="74"/>
      <c r="F708" s="74"/>
      <c r="G708" s="74"/>
      <c r="H708" s="76">
        <v>0</v>
      </c>
      <c r="I708" s="76">
        <f>VLOOKUP($C708,'Unit tariffs'!$B$21:$F$123,5,FALSE)*$B708</f>
        <v>0</v>
      </c>
      <c r="J708" s="457" t="e">
        <f>IF(+I708*'Unit tariffs'!#REF!&gt;'Unit tariffs'!#REF!,'Unit tariffs'!#REF!,+I708*'Unit tariffs'!#REF!)</f>
        <v>#REF!</v>
      </c>
    </row>
    <row r="709" spans="1:10" ht="13" x14ac:dyDescent="0.3">
      <c r="A709" s="91"/>
      <c r="B709" s="707">
        <v>0</v>
      </c>
      <c r="C709" s="74" t="s">
        <v>90</v>
      </c>
      <c r="D709" s="74"/>
      <c r="E709" s="74"/>
      <c r="F709" s="74"/>
      <c r="G709" s="74"/>
      <c r="H709" s="76">
        <v>0</v>
      </c>
      <c r="I709" s="76">
        <f>VLOOKUP($C709,'Unit tariffs'!$B$21:$F$123,5,FALSE)*$B709</f>
        <v>0</v>
      </c>
      <c r="J709" s="457" t="e">
        <f>IF(+I709*'Unit tariffs'!#REF!&gt;'Unit tariffs'!#REF!,'Unit tariffs'!#REF!,+I709*'Unit tariffs'!#REF!)</f>
        <v>#REF!</v>
      </c>
    </row>
    <row r="710" spans="1:10" ht="13" x14ac:dyDescent="0.3">
      <c r="A710" s="91"/>
      <c r="B710" s="85">
        <v>0</v>
      </c>
      <c r="C710" s="74" t="s">
        <v>11</v>
      </c>
      <c r="D710" s="74"/>
      <c r="E710" s="74"/>
      <c r="F710" s="74"/>
      <c r="G710" s="74"/>
      <c r="H710" s="76">
        <v>0</v>
      </c>
      <c r="I710" s="76">
        <f>VLOOKUP($C710,'Unit tariffs'!$B$21:$F$123,5,FALSE)*$B710</f>
        <v>0</v>
      </c>
      <c r="J710" s="457" t="e">
        <f>IF(+I710*'Unit tariffs'!#REF!&gt;'Unit tariffs'!#REF!,'Unit tariffs'!#REF!,+I710*'Unit tariffs'!#REF!)</f>
        <v>#REF!</v>
      </c>
    </row>
    <row r="711" spans="1:10" ht="13" x14ac:dyDescent="0.3">
      <c r="A711" s="91"/>
      <c r="B711" s="85">
        <v>0</v>
      </c>
      <c r="C711" s="74" t="s">
        <v>5</v>
      </c>
      <c r="D711" s="74"/>
      <c r="E711" s="74"/>
      <c r="F711" s="74"/>
      <c r="G711" s="74"/>
      <c r="H711" s="76">
        <v>0</v>
      </c>
      <c r="I711" s="76">
        <f>VLOOKUP($C711,'Unit tariffs'!$B$21:$F$123,5,FALSE)*$B711</f>
        <v>0</v>
      </c>
      <c r="J711" s="457" t="e">
        <f>IF(+I711*'Unit tariffs'!#REF!&gt;'Unit tariffs'!#REF!,'Unit tariffs'!#REF!,+I711*'Unit tariffs'!#REF!)</f>
        <v>#REF!</v>
      </c>
    </row>
    <row r="712" spans="1:10" ht="13" x14ac:dyDescent="0.3">
      <c r="A712" s="91"/>
      <c r="B712" s="85">
        <v>0</v>
      </c>
      <c r="C712" s="74" t="s">
        <v>93</v>
      </c>
      <c r="D712" s="74"/>
      <c r="E712" s="74"/>
      <c r="F712" s="74"/>
      <c r="G712" s="74"/>
      <c r="H712" s="76">
        <v>0</v>
      </c>
      <c r="I712" s="76">
        <f>VLOOKUP($C712,'Unit tariffs'!$B$21:$F$123,5,FALSE)*$B712</f>
        <v>0</v>
      </c>
      <c r="J712" s="457" t="e">
        <f>IF(+I712*'Unit tariffs'!#REF!&gt;'Unit tariffs'!#REF!,'Unit tariffs'!#REF!,+I712*'Unit tariffs'!#REF!)</f>
        <v>#REF!</v>
      </c>
    </row>
    <row r="713" spans="1:10" ht="13" x14ac:dyDescent="0.3">
      <c r="A713" s="91"/>
      <c r="B713" s="85">
        <v>0</v>
      </c>
      <c r="C713" s="74" t="s">
        <v>188</v>
      </c>
      <c r="D713" s="74"/>
      <c r="E713" s="74"/>
      <c r="F713" s="74"/>
      <c r="G713" s="74"/>
      <c r="H713" s="76">
        <v>0</v>
      </c>
      <c r="I713" s="76">
        <f>VLOOKUP($C713,'Unit tariffs'!$B$21:$F$123,5,FALSE)*$B713</f>
        <v>0</v>
      </c>
      <c r="J713" s="457" t="e">
        <f>IF(+I713*'Unit tariffs'!#REF!&gt;'Unit tariffs'!#REF!,'Unit tariffs'!#REF!,+I713*'Unit tariffs'!#REF!)</f>
        <v>#REF!</v>
      </c>
    </row>
    <row r="714" spans="1:10" ht="13" x14ac:dyDescent="0.3">
      <c r="A714" s="91"/>
      <c r="B714" s="74"/>
      <c r="C714" s="74"/>
      <c r="D714" s="74"/>
      <c r="E714" s="74"/>
      <c r="F714" s="74"/>
      <c r="G714" s="76"/>
      <c r="H714" s="138">
        <v>9833.0960897930527</v>
      </c>
      <c r="I714" s="138">
        <f>SUM(I703:I713)</f>
        <v>338.07595359999993</v>
      </c>
      <c r="J714" s="95"/>
    </row>
    <row r="715" spans="1:10" ht="13" x14ac:dyDescent="0.3">
      <c r="A715" s="91"/>
      <c r="B715" s="74"/>
      <c r="C715" s="74"/>
      <c r="D715" s="74"/>
      <c r="E715" s="74"/>
      <c r="F715" s="74"/>
      <c r="G715" s="76"/>
      <c r="H715" s="76"/>
      <c r="I715" s="76"/>
      <c r="J715" s="95"/>
    </row>
    <row r="716" spans="1:10" ht="13" x14ac:dyDescent="0.3">
      <c r="A716" s="91"/>
      <c r="B716" s="104" t="s">
        <v>42</v>
      </c>
      <c r="C716" s="74"/>
      <c r="D716" s="74"/>
      <c r="E716" s="74"/>
      <c r="F716" s="74"/>
      <c r="G716" s="74"/>
      <c r="J716" s="95"/>
    </row>
    <row r="717" spans="1:10" ht="13" x14ac:dyDescent="0.3">
      <c r="A717" s="91"/>
      <c r="B717" s="74"/>
      <c r="C717" s="74"/>
      <c r="D717" s="74"/>
      <c r="E717" s="74"/>
      <c r="F717" s="74"/>
      <c r="G717" s="74"/>
      <c r="J717" s="95"/>
    </row>
    <row r="718" spans="1:10" ht="13" x14ac:dyDescent="0.3">
      <c r="A718" s="91"/>
      <c r="B718" s="74">
        <v>2</v>
      </c>
      <c r="C718" s="74" t="str">
        <f>'Unit tariffs'!B$87</f>
        <v xml:space="preserve">hour-artisan </v>
      </c>
      <c r="D718" s="74"/>
      <c r="E718" s="74"/>
      <c r="F718" s="74"/>
      <c r="G718" s="74"/>
      <c r="H718" s="76">
        <v>645.70446346153847</v>
      </c>
      <c r="I718" s="76">
        <f>VLOOKUP($C718,'Unit tariffs'!$B$21:$F$123,5,FALSE)*$B718</f>
        <v>702.38553230769242</v>
      </c>
      <c r="J718" s="95"/>
    </row>
    <row r="719" spans="1:10" ht="13" x14ac:dyDescent="0.3">
      <c r="A719" s="91"/>
      <c r="B719" s="74">
        <v>8</v>
      </c>
      <c r="C719" s="74" t="str">
        <f>'Unit tariffs'!B$85</f>
        <v>hour-artisan assistant</v>
      </c>
      <c r="D719" s="74"/>
      <c r="E719" s="74"/>
      <c r="F719" s="74"/>
      <c r="G719" s="74"/>
      <c r="H719" s="81">
        <v>1028.2864615384617</v>
      </c>
      <c r="I719" s="81">
        <f>VLOOKUP($C719,'Unit tariffs'!$B$21:$F$123,5,FALSE)*$B719</f>
        <v>1118.5940676923078</v>
      </c>
      <c r="J719" s="95"/>
    </row>
    <row r="720" spans="1:10" ht="13" x14ac:dyDescent="0.3">
      <c r="A720" s="91"/>
      <c r="B720" s="74"/>
      <c r="C720" s="74"/>
      <c r="D720" s="74"/>
      <c r="E720" s="74"/>
      <c r="F720" s="74"/>
      <c r="G720" s="74"/>
      <c r="H720" s="76">
        <v>1673.9909250000001</v>
      </c>
      <c r="I720" s="76">
        <f>SUM(I718:I719)</f>
        <v>1820.9796000000001</v>
      </c>
      <c r="J720" s="95"/>
    </row>
    <row r="721" spans="1:10" ht="13" x14ac:dyDescent="0.3">
      <c r="A721" s="91"/>
      <c r="B721" s="104" t="s">
        <v>43</v>
      </c>
      <c r="C721" s="74"/>
      <c r="D721" s="74"/>
      <c r="E721" s="74"/>
      <c r="F721" s="74"/>
      <c r="G721" s="74"/>
      <c r="J721" s="95"/>
    </row>
    <row r="722" spans="1:10" ht="13" x14ac:dyDescent="0.3">
      <c r="A722" s="91"/>
      <c r="B722" s="74"/>
      <c r="C722" s="74"/>
      <c r="D722" s="74"/>
      <c r="E722" s="74"/>
      <c r="F722" s="74"/>
      <c r="G722" s="74"/>
      <c r="J722" s="95"/>
    </row>
    <row r="723" spans="1:10" ht="13" x14ac:dyDescent="0.3">
      <c r="A723" s="91"/>
      <c r="B723" s="74">
        <v>30</v>
      </c>
      <c r="C723" s="74" t="str">
        <f>'Unit tariffs'!B$111</f>
        <v>km-truck with platform</v>
      </c>
      <c r="D723" s="74"/>
      <c r="E723" s="74"/>
      <c r="F723" s="74"/>
      <c r="G723" s="74"/>
      <c r="H723" s="76">
        <v>1263.6151042727799</v>
      </c>
      <c r="I723" s="76">
        <f>VLOOKUP($C723,'Unit tariffs'!$B$21:$F$123,5,FALSE)*$B723</f>
        <v>1478.4996522648166</v>
      </c>
      <c r="J723" s="95"/>
    </row>
    <row r="724" spans="1:10" ht="13" x14ac:dyDescent="0.3">
      <c r="A724" s="91"/>
      <c r="B724" s="74">
        <v>8</v>
      </c>
      <c r="C724" s="74" t="str">
        <f>'Unit tariffs'!B$112</f>
        <v>hour-truck with platform</v>
      </c>
      <c r="D724" s="74"/>
      <c r="E724" s="74"/>
      <c r="F724" s="74"/>
      <c r="G724" s="74"/>
      <c r="H724" s="81">
        <v>1639.875338493385</v>
      </c>
      <c r="I724" s="81">
        <f>VLOOKUP($C724,'Unit tariffs'!$B$21:$F$123,5,FALSE)*$B724</f>
        <v>1918.7449639702336</v>
      </c>
      <c r="J724" s="95"/>
    </row>
    <row r="725" spans="1:10" ht="13.5" thickBot="1" x14ac:dyDescent="0.35">
      <c r="A725" s="91"/>
      <c r="B725" s="74"/>
      <c r="C725" s="74"/>
      <c r="D725" s="74"/>
      <c r="E725" s="74"/>
      <c r="F725" s="74"/>
      <c r="G725" s="74"/>
      <c r="H725" s="107">
        <v>2903.490442766165</v>
      </c>
      <c r="I725" s="107">
        <f>SUM(I723:I724)</f>
        <v>3397.2446162350502</v>
      </c>
      <c r="J725" s="95"/>
    </row>
    <row r="726" spans="1:10" ht="13.5" thickTop="1" x14ac:dyDescent="0.3">
      <c r="A726" s="91"/>
      <c r="B726" s="74"/>
      <c r="C726" s="74"/>
      <c r="D726" s="74"/>
      <c r="E726" s="74"/>
      <c r="F726" s="74"/>
      <c r="G726" s="76"/>
      <c r="H726" s="76">
        <v>45110.667207559221</v>
      </c>
      <c r="I726" s="76">
        <f>+I725+I720+I714+I699</f>
        <v>40245.344681321803</v>
      </c>
      <c r="J726" s="95"/>
    </row>
    <row r="727" spans="1:10" ht="13.5" thickBot="1" x14ac:dyDescent="0.35">
      <c r="A727" s="91"/>
      <c r="B727" s="104" t="str">
        <f>'Unit tariffs'!$B$7</f>
        <v>Administration Levy (Indirect Cost)</v>
      </c>
      <c r="C727" s="74"/>
      <c r="D727" s="106">
        <f>'Unit tariffs'!$C$7</f>
        <v>0.1</v>
      </c>
      <c r="E727" s="74" t="s">
        <v>311</v>
      </c>
      <c r="F727" s="186">
        <f>+'Unit tariffs'!$F$7</f>
        <v>10000</v>
      </c>
      <c r="G727" s="76"/>
      <c r="H727" s="108">
        <v>4511.0667207559227</v>
      </c>
      <c r="I727" s="108">
        <f>IF(I726*$D727&gt;='Unit tariffs'!$E$7,'Unit tariffs'!$E$7,I726*$D727)</f>
        <v>4024.5344681321803</v>
      </c>
      <c r="J727" s="95"/>
    </row>
    <row r="728" spans="1:10" ht="13.5" thickTop="1" x14ac:dyDescent="0.3">
      <c r="A728" s="91"/>
      <c r="B728" s="104" t="s">
        <v>44</v>
      </c>
      <c r="C728" s="74"/>
      <c r="D728" s="74"/>
      <c r="E728" s="74"/>
      <c r="F728" s="74"/>
      <c r="G728" s="76"/>
      <c r="H728" s="109">
        <v>49621.733928315145</v>
      </c>
      <c r="I728" s="109">
        <f>SUM(I726:I727)</f>
        <v>44269.879149453984</v>
      </c>
      <c r="J728" s="95"/>
    </row>
    <row r="729" spans="1:10" ht="13" x14ac:dyDescent="0.3">
      <c r="A729" s="91"/>
      <c r="B729" s="104"/>
      <c r="C729" s="74"/>
      <c r="D729" s="74"/>
      <c r="E729" s="74"/>
      <c r="F729" s="74"/>
      <c r="G729" s="76"/>
      <c r="H729" s="74"/>
      <c r="I729" s="74"/>
      <c r="J729" s="113"/>
    </row>
    <row r="730" spans="1:10" ht="13" x14ac:dyDescent="0.3">
      <c r="A730" s="91"/>
      <c r="B730" s="104" t="s">
        <v>45</v>
      </c>
      <c r="C730" s="74"/>
      <c r="D730" s="74"/>
      <c r="E730" s="74"/>
      <c r="F730" s="74"/>
      <c r="G730" s="74"/>
      <c r="H730" s="84">
        <v>49620</v>
      </c>
      <c r="I730" s="84">
        <f>ROUND(I728,-1)</f>
        <v>44270</v>
      </c>
      <c r="J730" s="113"/>
    </row>
    <row r="731" spans="1:10" ht="13" x14ac:dyDescent="0.3">
      <c r="A731" s="91"/>
      <c r="B731" s="74"/>
      <c r="C731" s="74"/>
      <c r="D731" s="74"/>
      <c r="E731" s="74"/>
      <c r="F731" s="74"/>
      <c r="G731" s="74"/>
      <c r="H731" s="76"/>
      <c r="I731" s="76"/>
      <c r="J731" s="113"/>
    </row>
    <row r="732" spans="1:10" ht="13" x14ac:dyDescent="0.3">
      <c r="A732" s="91"/>
      <c r="B732" s="74"/>
      <c r="C732" s="74"/>
      <c r="D732" s="74"/>
      <c r="E732" s="74"/>
      <c r="F732" s="74"/>
      <c r="G732" s="74"/>
      <c r="H732" s="112" t="e">
        <v>#VALUE!</v>
      </c>
      <c r="I732" s="112">
        <f>(I730-H730)/H730</f>
        <v>-0.10781942765014108</v>
      </c>
      <c r="J732" s="113"/>
    </row>
    <row r="733" spans="1:10" ht="13.5" thickBot="1" x14ac:dyDescent="0.35">
      <c r="A733" s="448"/>
      <c r="B733" s="123"/>
      <c r="C733" s="123"/>
      <c r="D733" s="123"/>
      <c r="E733" s="123"/>
      <c r="F733" s="123"/>
      <c r="G733" s="123"/>
      <c r="H733" s="123"/>
      <c r="I733" s="123"/>
      <c r="J733" s="95"/>
    </row>
    <row r="734" spans="1:10" ht="13.5" thickTop="1" x14ac:dyDescent="0.3">
      <c r="A734" s="91"/>
      <c r="B734" s="74"/>
      <c r="C734" s="74"/>
      <c r="D734" s="74"/>
      <c r="E734" s="74"/>
      <c r="F734" s="74"/>
      <c r="G734" s="74"/>
      <c r="H734" s="74"/>
      <c r="I734" s="74"/>
      <c r="J734" s="95"/>
    </row>
    <row r="735" spans="1:10" ht="26.25" customHeight="1" x14ac:dyDescent="0.3">
      <c r="A735" s="91"/>
      <c r="B735" s="931" t="s">
        <v>520</v>
      </c>
      <c r="C735" s="932"/>
      <c r="D735" s="932"/>
      <c r="E735" s="932"/>
      <c r="F735" s="932"/>
      <c r="G735" s="933"/>
      <c r="H735" s="131" t="s">
        <v>243</v>
      </c>
      <c r="I735" s="131" t="s">
        <v>243</v>
      </c>
      <c r="J735" s="95"/>
    </row>
    <row r="736" spans="1:10" ht="13" x14ac:dyDescent="0.3">
      <c r="A736" s="91"/>
      <c r="B736" s="74"/>
      <c r="C736" s="74"/>
      <c r="D736" s="74"/>
      <c r="E736" s="74"/>
      <c r="F736" s="74"/>
      <c r="G736" s="74"/>
      <c r="H736" s="103" t="str">
        <f>+'Unit tariffs'!$F$11</f>
        <v>2026/2027</v>
      </c>
      <c r="I736" s="103" t="str">
        <f>+'Unit tariffs'!$F$11</f>
        <v>2026/2027</v>
      </c>
      <c r="J736" s="444" t="s">
        <v>313</v>
      </c>
    </row>
    <row r="737" spans="1:10" ht="13" x14ac:dyDescent="0.3">
      <c r="A737" s="91"/>
      <c r="B737" s="74"/>
      <c r="C737" s="74"/>
      <c r="D737" s="74"/>
      <c r="E737" s="74"/>
      <c r="F737" s="74"/>
      <c r="G737" s="74"/>
      <c r="H737" s="127"/>
      <c r="I737" s="127"/>
      <c r="J737" s="450"/>
    </row>
    <row r="738" spans="1:10" ht="13" x14ac:dyDescent="0.3">
      <c r="A738" s="91"/>
      <c r="B738" s="74"/>
      <c r="C738" s="74"/>
      <c r="D738" s="74"/>
      <c r="E738" s="74"/>
      <c r="F738" s="74"/>
      <c r="G738" s="74"/>
      <c r="H738" s="139"/>
      <c r="I738" s="139"/>
      <c r="J738" s="450"/>
    </row>
    <row r="739" spans="1:10" ht="13.5" customHeight="1" x14ac:dyDescent="0.3">
      <c r="A739" s="91"/>
      <c r="B739" s="104" t="s">
        <v>117</v>
      </c>
      <c r="C739" s="74"/>
      <c r="D739" s="74"/>
      <c r="E739" s="74"/>
      <c r="F739" s="74"/>
      <c r="G739" s="74"/>
      <c r="H739" s="74"/>
      <c r="I739" s="74"/>
      <c r="J739" s="450"/>
    </row>
    <row r="740" spans="1:10" ht="13.5" customHeight="1" x14ac:dyDescent="0.3">
      <c r="A740" s="91"/>
      <c r="B740" s="707">
        <v>7.5</v>
      </c>
      <c r="C740" s="85" t="str">
        <f>'Unit tariffs'!B138</f>
        <v>Secondary Backbone - MV Peri Urban</v>
      </c>
      <c r="D740" s="85"/>
      <c r="E740" s="85"/>
      <c r="F740" s="85" t="s">
        <v>95</v>
      </c>
      <c r="G740" s="85"/>
      <c r="H740" s="188">
        <v>8018.2162500000013</v>
      </c>
      <c r="I740" s="188">
        <f>VLOOKUP($C740,'Unit tariffs'!$B$21:$F$155,5,FALSE)*$B740</f>
        <v>9060.0471420112499</v>
      </c>
      <c r="J740" s="127"/>
    </row>
    <row r="741" spans="1:10" ht="13" x14ac:dyDescent="0.3">
      <c r="A741" s="91"/>
      <c r="B741" s="74">
        <v>7.5</v>
      </c>
      <c r="C741" s="74" t="str">
        <f>+'Unit tariffs'!B139</f>
        <v>Secondary Backbone - LV Peri Urban</v>
      </c>
      <c r="D741" s="74"/>
      <c r="E741" s="74"/>
      <c r="F741" s="74" t="s">
        <v>95</v>
      </c>
      <c r="G741" s="74"/>
      <c r="H741" s="81">
        <v>13153.668000000003</v>
      </c>
      <c r="I741" s="81">
        <f>VLOOKUP($C741,'Unit tariffs'!$B$21:$F$155,5,FALSE)*$B741</f>
        <v>14862.763544244002</v>
      </c>
      <c r="J741" s="105"/>
    </row>
    <row r="742" spans="1:10" ht="13" x14ac:dyDescent="0.3">
      <c r="A742" s="91"/>
      <c r="B742" s="74"/>
      <c r="C742" s="74"/>
      <c r="D742" s="74"/>
      <c r="E742" s="74"/>
      <c r="F742" s="74"/>
      <c r="G742" s="74"/>
      <c r="H742" s="84">
        <v>21171.884250000003</v>
      </c>
      <c r="I742" s="84">
        <f>SUM(I739:I741)</f>
        <v>23922.810686255252</v>
      </c>
      <c r="J742" s="95"/>
    </row>
    <row r="743" spans="1:10" ht="13" x14ac:dyDescent="0.3">
      <c r="A743" s="91"/>
      <c r="B743" s="104" t="s">
        <v>41</v>
      </c>
      <c r="C743" s="74"/>
      <c r="D743" s="74"/>
      <c r="E743" s="74"/>
      <c r="F743" s="74"/>
      <c r="G743" s="74"/>
      <c r="H743" s="133"/>
      <c r="I743" s="133"/>
      <c r="J743" s="95"/>
    </row>
    <row r="744" spans="1:10" ht="13" x14ac:dyDescent="0.3">
      <c r="A744" s="91"/>
      <c r="B744" s="74"/>
      <c r="C744" s="74"/>
      <c r="D744" s="74"/>
      <c r="E744" s="74"/>
      <c r="F744" s="74"/>
      <c r="G744" s="74"/>
      <c r="H744" s="133"/>
      <c r="I744" s="133"/>
      <c r="J744" s="105"/>
    </row>
    <row r="745" spans="1:10" ht="14.5" x14ac:dyDescent="0.35">
      <c r="A745" s="91"/>
      <c r="B745" s="74">
        <v>1</v>
      </c>
      <c r="C745" s="456" t="str">
        <f>+'Unit tariffs'!B46</f>
        <v>METER: TIME OF USE 100 AMP</v>
      </c>
      <c r="D745" s="74"/>
      <c r="E745" s="74"/>
      <c r="F745" s="74"/>
      <c r="G745" s="74"/>
      <c r="H745" s="76">
        <v>5538.1406043608804</v>
      </c>
      <c r="I745" s="76">
        <f>VLOOKUP($C745,'Unit tariffs'!$B$21:$F$123,5,FALSE)*$B745</f>
        <v>0</v>
      </c>
      <c r="J745" s="457" t="e">
        <f>IF(+I745*'Unit tariffs'!#REF!&gt;'Unit tariffs'!#REF!,'Unit tariffs'!#REF!,+I745*'Unit tariffs'!#REF!)</f>
        <v>#REF!</v>
      </c>
    </row>
    <row r="746" spans="1:10" ht="13" x14ac:dyDescent="0.3">
      <c r="A746" s="91"/>
      <c r="B746" s="74">
        <v>1</v>
      </c>
      <c r="C746" s="74" t="s">
        <v>230</v>
      </c>
      <c r="D746" s="74"/>
      <c r="E746" s="74"/>
      <c r="F746" s="74"/>
      <c r="G746" s="74"/>
      <c r="H746" s="76">
        <v>3707.5418271871995</v>
      </c>
      <c r="I746" s="76">
        <f>VLOOKUP($C746,'Unit tariffs'!$B$21:$F$123,5,FALSE)*$B746</f>
        <v>338.07595359999993</v>
      </c>
      <c r="J746" s="457" t="e">
        <f>IF(+I746*'Unit tariffs'!#REF!&gt;'Unit tariffs'!#REF!,'Unit tariffs'!#REF!,+I746*'Unit tariffs'!#REF!)</f>
        <v>#REF!</v>
      </c>
    </row>
    <row r="747" spans="1:10" ht="13" x14ac:dyDescent="0.3">
      <c r="A747" s="91"/>
      <c r="B747" s="74">
        <v>3</v>
      </c>
      <c r="C747" s="74" t="str">
        <f>'Unit tariffs'!B43</f>
        <v>x 80 A circuit breaker (5kA) - Orange</v>
      </c>
      <c r="D747" s="74"/>
      <c r="E747" s="74"/>
      <c r="F747" s="74"/>
      <c r="G747" s="74"/>
      <c r="H747" s="76">
        <v>587.413658244972</v>
      </c>
      <c r="I747" s="76">
        <f>VLOOKUP($C747,'Unit tariffs'!$B$21:$F$123,5,FALSE)*$B747</f>
        <v>0</v>
      </c>
      <c r="J747" s="457" t="e">
        <f>IF(+I747*'Unit tariffs'!#REF!&gt;'Unit tariffs'!#REF!,'Unit tariffs'!#REF!,+I747*'Unit tariffs'!#REF!)</f>
        <v>#REF!</v>
      </c>
    </row>
    <row r="748" spans="1:10" ht="13" x14ac:dyDescent="0.3">
      <c r="A748" s="91"/>
      <c r="B748" s="85">
        <v>0</v>
      </c>
      <c r="C748" s="74" t="str">
        <f>'Unit tariffs'!B72</f>
        <v>Cable clamp (Clampex) - K26</v>
      </c>
      <c r="D748" s="74"/>
      <c r="E748" s="74"/>
      <c r="F748" s="74"/>
      <c r="G748" s="74"/>
      <c r="H748" s="76">
        <v>0</v>
      </c>
      <c r="I748" s="76">
        <f>VLOOKUP($C748,'Unit tariffs'!$B$21:$F$123,5,FALSE)*$B748</f>
        <v>0</v>
      </c>
      <c r="J748" s="457" t="e">
        <f>IF(+I748*'Unit tariffs'!#REF!&gt;'Unit tariffs'!#REF!,'Unit tariffs'!#REF!,+I748*'Unit tariffs'!#REF!)</f>
        <v>#REF!</v>
      </c>
    </row>
    <row r="749" spans="1:10" ht="13" x14ac:dyDescent="0.3">
      <c r="A749" s="91"/>
      <c r="B749" s="85">
        <v>0</v>
      </c>
      <c r="C749" s="74" t="str">
        <f>'Unit tariffs'!B21</f>
        <v>Installation material</v>
      </c>
      <c r="D749" s="74"/>
      <c r="E749" s="74"/>
      <c r="F749" s="74"/>
      <c r="G749" s="74"/>
      <c r="H749" s="76">
        <v>0</v>
      </c>
      <c r="I749" s="76">
        <f>VLOOKUP($C749,'Unit tariffs'!$B$21:$F$123,5,FALSE)*$B749</f>
        <v>0</v>
      </c>
      <c r="J749" s="457" t="e">
        <f>IF(+I749*'Unit tariffs'!#REF!&gt;'Unit tariffs'!#REF!,'Unit tariffs'!#REF!,+I749*'Unit tariffs'!#REF!)</f>
        <v>#REF!</v>
      </c>
    </row>
    <row r="750" spans="1:10" ht="13" x14ac:dyDescent="0.3">
      <c r="A750" s="91"/>
      <c r="B750" s="85">
        <v>0</v>
      </c>
      <c r="C750" s="74" t="str">
        <f>'Unit tariffs'!B38</f>
        <v xml:space="preserve"> Rural household meter box</v>
      </c>
      <c r="D750" s="74"/>
      <c r="E750" s="74"/>
      <c r="F750" s="74"/>
      <c r="G750" s="74"/>
      <c r="H750" s="76">
        <v>0</v>
      </c>
      <c r="I750" s="76">
        <f>VLOOKUP($C750,'Unit tariffs'!$B$21:$F$123,5,FALSE)*$B750</f>
        <v>0</v>
      </c>
      <c r="J750" s="457" t="e">
        <f>IF(+I750*'Unit tariffs'!#REF!&gt;'Unit tariffs'!#REF!,'Unit tariffs'!#REF!,+I750*'Unit tariffs'!#REF!)</f>
        <v>#REF!</v>
      </c>
    </row>
    <row r="751" spans="1:10" ht="13" x14ac:dyDescent="0.3">
      <c r="A751" s="91"/>
      <c r="B751" s="85">
        <v>0</v>
      </c>
      <c r="C751" s="74" t="str">
        <f>'Unit tariffs'!B62</f>
        <v>3m Pole for rural box</v>
      </c>
      <c r="D751" s="74"/>
      <c r="E751" s="74"/>
      <c r="F751" s="74"/>
      <c r="G751" s="74"/>
      <c r="H751" s="76">
        <v>0</v>
      </c>
      <c r="I751" s="76">
        <f>VLOOKUP($C751,'Unit tariffs'!$B$21:$F$123,5,FALSE)*$B751</f>
        <v>0</v>
      </c>
      <c r="J751" s="457" t="e">
        <f>IF(+I751*'Unit tariffs'!#REF!&gt;'Unit tariffs'!#REF!,'Unit tariffs'!#REF!,+I751*'Unit tariffs'!#REF!)</f>
        <v>#REF!</v>
      </c>
    </row>
    <row r="752" spans="1:10" ht="13" x14ac:dyDescent="0.3">
      <c r="A752" s="91"/>
      <c r="B752" s="85">
        <v>0</v>
      </c>
      <c r="C752" s="74" t="str">
        <f>'Unit tariffs'!B56</f>
        <v>m 16 mm x 4 Cu cable</v>
      </c>
      <c r="D752" s="74"/>
      <c r="E752" s="74"/>
      <c r="F752" s="74"/>
      <c r="G752" s="74"/>
      <c r="H752" s="76">
        <v>0</v>
      </c>
      <c r="I752" s="76">
        <f>VLOOKUP($C752,'Unit tariffs'!$B$21:$F$123,5,FALSE)*$B752</f>
        <v>0</v>
      </c>
      <c r="J752" s="457" t="e">
        <f>IF(+I752*'Unit tariffs'!#REF!&gt;'Unit tariffs'!#REF!,'Unit tariffs'!#REF!,+I752*'Unit tariffs'!#REF!)</f>
        <v>#REF!</v>
      </c>
    </row>
    <row r="753" spans="1:10" ht="13" x14ac:dyDescent="0.3">
      <c r="A753" s="91"/>
      <c r="B753" s="85">
        <v>0</v>
      </c>
      <c r="C753" s="74" t="str">
        <f>'Unit tariffs'!B44</f>
        <v>x 100 A circuit breaker</v>
      </c>
      <c r="D753" s="74"/>
      <c r="E753" s="74"/>
      <c r="F753" s="74"/>
      <c r="G753" s="74"/>
      <c r="H753" s="76">
        <v>0</v>
      </c>
      <c r="I753" s="76">
        <f>VLOOKUP($C753,'Unit tariffs'!$B$21:$F$123,5,FALSE)*$B753</f>
        <v>0</v>
      </c>
      <c r="J753" s="457" t="e">
        <f>IF(+I753*'Unit tariffs'!#REF!&gt;'Unit tariffs'!#REF!,'Unit tariffs'!#REF!,+I753*'Unit tariffs'!#REF!)</f>
        <v>#REF!</v>
      </c>
    </row>
    <row r="754" spans="1:10" ht="13" x14ac:dyDescent="0.3">
      <c r="A754" s="91"/>
      <c r="B754" s="85">
        <v>0</v>
      </c>
      <c r="C754" s="74" t="str">
        <f>'Unit tariffs'!B61</f>
        <v>SPB1 Pole box</v>
      </c>
      <c r="D754" s="74"/>
      <c r="E754" s="74"/>
      <c r="F754" s="74"/>
      <c r="G754" s="74"/>
      <c r="H754" s="76">
        <v>0</v>
      </c>
      <c r="I754" s="76">
        <f>VLOOKUP($C754,'Unit tariffs'!$B$21:$F$123,5,FALSE)*$B754</f>
        <v>0</v>
      </c>
      <c r="J754" s="457" t="e">
        <f>IF(+I754*'Unit tariffs'!#REF!&gt;'Unit tariffs'!#REF!,'Unit tariffs'!#REF!,+I754*'Unit tariffs'!#REF!)</f>
        <v>#REF!</v>
      </c>
    </row>
    <row r="755" spans="1:10" ht="13" x14ac:dyDescent="0.3">
      <c r="A755" s="91"/>
      <c r="B755" s="85">
        <v>0</v>
      </c>
      <c r="C755" s="74" t="str">
        <f>'Unit tariffs'!B50</f>
        <v>Gland (Pratley No1)</v>
      </c>
      <c r="D755" s="74"/>
      <c r="E755" s="74"/>
      <c r="F755" s="74"/>
      <c r="G755" s="74"/>
      <c r="H755" s="76">
        <v>0</v>
      </c>
      <c r="I755" s="76">
        <f>VLOOKUP($C755,'Unit tariffs'!$B$21:$F$123,5,FALSE)*$B755</f>
        <v>0</v>
      </c>
      <c r="J755" s="457" t="e">
        <f>IF(+I755*'Unit tariffs'!#REF!&gt;'Unit tariffs'!#REF!,'Unit tariffs'!#REF!,+I755*'Unit tariffs'!#REF!)</f>
        <v>#REF!</v>
      </c>
    </row>
    <row r="756" spans="1:10" ht="13" x14ac:dyDescent="0.3">
      <c r="A756" s="91"/>
      <c r="B756" s="74"/>
      <c r="C756" s="74"/>
      <c r="D756" s="74"/>
      <c r="E756" s="74"/>
      <c r="F756" s="74"/>
      <c r="G756" s="76"/>
      <c r="H756" s="140">
        <v>9833.0960897930527</v>
      </c>
      <c r="I756" s="140">
        <f>SUM(I745:I755)</f>
        <v>338.07595359999993</v>
      </c>
      <c r="J756" s="95"/>
    </row>
    <row r="757" spans="1:10" ht="13" x14ac:dyDescent="0.3">
      <c r="A757" s="91"/>
      <c r="B757" s="104" t="s">
        <v>42</v>
      </c>
      <c r="C757" s="74"/>
      <c r="D757" s="74"/>
      <c r="E757" s="74"/>
      <c r="F757" s="74"/>
      <c r="G757" s="74"/>
      <c r="H757" s="76"/>
      <c r="I757" s="76"/>
      <c r="J757" s="95"/>
    </row>
    <row r="758" spans="1:10" ht="13" x14ac:dyDescent="0.3">
      <c r="A758" s="91"/>
      <c r="B758" s="74"/>
      <c r="C758" s="74"/>
      <c r="D758" s="74"/>
      <c r="E758" s="74"/>
      <c r="F758" s="74"/>
      <c r="G758" s="74"/>
      <c r="J758" s="105"/>
    </row>
    <row r="759" spans="1:10" ht="13" x14ac:dyDescent="0.3">
      <c r="A759" s="91"/>
      <c r="B759" s="74">
        <v>2</v>
      </c>
      <c r="C759" s="74" t="str">
        <f>'Unit tariffs'!B$87</f>
        <v xml:space="preserve">hour-artisan </v>
      </c>
      <c r="D759" s="74"/>
      <c r="E759" s="74"/>
      <c r="F759" s="74"/>
      <c r="G759" s="74"/>
      <c r="H759" s="76">
        <v>645.70446346153847</v>
      </c>
      <c r="I759" s="76">
        <f>VLOOKUP($C759,'Unit tariffs'!$B$21:$F$123,5,FALSE)*$B759</f>
        <v>702.38553230769242</v>
      </c>
      <c r="J759" s="105"/>
    </row>
    <row r="760" spans="1:10" ht="13" x14ac:dyDescent="0.3">
      <c r="A760" s="91"/>
      <c r="B760" s="74">
        <v>8</v>
      </c>
      <c r="C760" s="74" t="str">
        <f>'Unit tariffs'!B$85</f>
        <v>hour-artisan assistant</v>
      </c>
      <c r="D760" s="74"/>
      <c r="E760" s="74"/>
      <c r="F760" s="74"/>
      <c r="G760" s="74"/>
      <c r="H760" s="81">
        <v>1028.2864615384617</v>
      </c>
      <c r="I760" s="81">
        <f>VLOOKUP($C760,'Unit tariffs'!$B$21:$F$123,5,FALSE)*$B760</f>
        <v>1118.5940676923078</v>
      </c>
      <c r="J760" s="105"/>
    </row>
    <row r="761" spans="1:10" ht="13" x14ac:dyDescent="0.3">
      <c r="A761" s="91"/>
      <c r="B761" s="74"/>
      <c r="C761" s="74"/>
      <c r="D761" s="74"/>
      <c r="E761" s="74"/>
      <c r="F761" s="74"/>
      <c r="G761" s="74"/>
      <c r="H761" s="84">
        <v>1673.9909250000001</v>
      </c>
      <c r="I761" s="84">
        <f>SUM(I759:I760)</f>
        <v>1820.9796000000001</v>
      </c>
      <c r="J761" s="95"/>
    </row>
    <row r="762" spans="1:10" ht="13" x14ac:dyDescent="0.3">
      <c r="A762" s="91"/>
      <c r="B762" s="104" t="s">
        <v>43</v>
      </c>
      <c r="C762" s="74"/>
      <c r="D762" s="74"/>
      <c r="E762" s="74"/>
      <c r="F762" s="74"/>
      <c r="G762" s="74"/>
      <c r="J762" s="95"/>
    </row>
    <row r="763" spans="1:10" ht="13" x14ac:dyDescent="0.3">
      <c r="A763" s="91"/>
      <c r="B763" s="74"/>
      <c r="C763" s="74"/>
      <c r="D763" s="74"/>
      <c r="E763" s="74"/>
      <c r="F763" s="74"/>
      <c r="G763" s="74"/>
      <c r="J763" s="105"/>
    </row>
    <row r="764" spans="1:10" ht="13" x14ac:dyDescent="0.3">
      <c r="A764" s="91"/>
      <c r="B764" s="74">
        <v>30</v>
      </c>
      <c r="C764" s="74" t="str">
        <f>'Unit tariffs'!B$111</f>
        <v>km-truck with platform</v>
      </c>
      <c r="D764" s="74"/>
      <c r="E764" s="74"/>
      <c r="F764" s="74"/>
      <c r="G764" s="74"/>
      <c r="H764" s="76">
        <v>1263.6151042727799</v>
      </c>
      <c r="I764" s="76">
        <f>VLOOKUP($C764,'Unit tariffs'!$B$21:$F$123,5,FALSE)*$B764</f>
        <v>1478.4996522648166</v>
      </c>
      <c r="J764" s="105"/>
    </row>
    <row r="765" spans="1:10" ht="13" x14ac:dyDescent="0.3">
      <c r="A765" s="91"/>
      <c r="B765" s="74">
        <v>2</v>
      </c>
      <c r="C765" s="74" t="str">
        <f>'Unit tariffs'!B$112</f>
        <v>hour-truck with platform</v>
      </c>
      <c r="D765" s="74"/>
      <c r="E765" s="74"/>
      <c r="F765" s="74"/>
      <c r="G765" s="74"/>
      <c r="H765" s="81">
        <v>409.96883462334625</v>
      </c>
      <c r="I765" s="81">
        <f>VLOOKUP($C765,'Unit tariffs'!$B$21:$F$123,5,FALSE)*$B765</f>
        <v>479.6862409925584</v>
      </c>
      <c r="J765" s="105"/>
    </row>
    <row r="766" spans="1:10" ht="13.5" thickBot="1" x14ac:dyDescent="0.35">
      <c r="A766" s="91"/>
      <c r="B766" s="74"/>
      <c r="C766" s="74"/>
      <c r="D766" s="74"/>
      <c r="E766" s="74"/>
      <c r="F766" s="74"/>
      <c r="G766" s="74"/>
      <c r="H766" s="141">
        <v>1673.5839388961263</v>
      </c>
      <c r="I766" s="141">
        <f>SUM(I764:I765)</f>
        <v>1958.185893257375</v>
      </c>
      <c r="J766" s="105"/>
    </row>
    <row r="767" spans="1:10" ht="13.5" thickTop="1" x14ac:dyDescent="0.3">
      <c r="A767" s="91"/>
      <c r="B767" s="74"/>
      <c r="C767" s="74"/>
      <c r="D767" s="74"/>
      <c r="E767" s="74"/>
      <c r="F767" s="74"/>
      <c r="G767" s="76"/>
      <c r="H767" s="84">
        <v>34352.555203689182</v>
      </c>
      <c r="I767" s="84">
        <f>+I766+I761+I756+I742</f>
        <v>28040.052133112629</v>
      </c>
      <c r="J767" s="105"/>
    </row>
    <row r="768" spans="1:10" ht="13.5" thickBot="1" x14ac:dyDescent="0.35">
      <c r="A768" s="91"/>
      <c r="B768" s="104" t="str">
        <f>'Unit tariffs'!$B$7</f>
        <v>Administration Levy (Indirect Cost)</v>
      </c>
      <c r="C768" s="74"/>
      <c r="D768" s="106">
        <f>'Unit tariffs'!$C$7</f>
        <v>0.1</v>
      </c>
      <c r="E768" s="74" t="s">
        <v>311</v>
      </c>
      <c r="F768" s="186">
        <f>+'Unit tariffs'!$F$7</f>
        <v>10000</v>
      </c>
      <c r="G768" s="76"/>
      <c r="H768" s="108">
        <v>3435.2555203689185</v>
      </c>
      <c r="I768" s="108">
        <f>IF(I767*$D768&gt;='Unit tariffs'!$E$7,'Unit tariffs'!$E$7,I767*$D768)</f>
        <v>2804.0052133112631</v>
      </c>
      <c r="J768" s="105"/>
    </row>
    <row r="769" spans="1:10" ht="13.5" thickTop="1" x14ac:dyDescent="0.3">
      <c r="A769" s="91"/>
      <c r="B769" s="104" t="s">
        <v>44</v>
      </c>
      <c r="C769" s="74"/>
      <c r="D769" s="74"/>
      <c r="E769" s="74"/>
      <c r="F769" s="74"/>
      <c r="G769" s="76"/>
      <c r="H769" s="142">
        <v>37787.810724058101</v>
      </c>
      <c r="I769" s="142">
        <f>SUM(I767:I768)</f>
        <v>30844.057346423891</v>
      </c>
      <c r="J769" s="105"/>
    </row>
    <row r="770" spans="1:10" ht="13" x14ac:dyDescent="0.3">
      <c r="A770" s="91"/>
      <c r="B770" s="104"/>
      <c r="C770" s="74"/>
      <c r="D770" s="74"/>
      <c r="E770" s="74"/>
      <c r="F770" s="74"/>
      <c r="G770" s="76"/>
      <c r="H770" s="74"/>
      <c r="I770" s="74"/>
      <c r="J770" s="110"/>
    </row>
    <row r="771" spans="1:10" ht="13" x14ac:dyDescent="0.3">
      <c r="A771" s="91"/>
      <c r="B771" s="104" t="s">
        <v>45</v>
      </c>
      <c r="C771" s="74"/>
      <c r="D771" s="74"/>
      <c r="E771" s="74"/>
      <c r="F771" s="74"/>
      <c r="G771" s="74"/>
      <c r="H771" s="84">
        <v>37790</v>
      </c>
      <c r="I771" s="84">
        <f>ROUND(I769,-1)</f>
        <v>30840</v>
      </c>
      <c r="J771" s="105"/>
    </row>
    <row r="772" spans="1:10" ht="13" x14ac:dyDescent="0.3">
      <c r="A772" s="91"/>
      <c r="B772" s="74"/>
      <c r="C772" s="74"/>
      <c r="D772" s="74"/>
      <c r="E772" s="74"/>
      <c r="F772" s="74"/>
      <c r="G772" s="74"/>
      <c r="H772" s="76"/>
      <c r="I772" s="76"/>
      <c r="J772" s="113"/>
    </row>
    <row r="773" spans="1:10" ht="13" x14ac:dyDescent="0.3">
      <c r="A773" s="91"/>
      <c r="B773" s="74"/>
      <c r="C773" s="74"/>
      <c r="D773" s="74"/>
      <c r="E773" s="74"/>
      <c r="F773" s="74"/>
      <c r="G773" s="74"/>
      <c r="H773" s="143">
        <v>0</v>
      </c>
      <c r="I773" s="143">
        <f>+(I771-H771)/H771</f>
        <v>-0.18391108758930935</v>
      </c>
      <c r="J773" s="113"/>
    </row>
    <row r="774" spans="1:10" ht="13" x14ac:dyDescent="0.3">
      <c r="A774" s="91"/>
      <c r="B774" s="104"/>
      <c r="C774" s="74"/>
      <c r="D774" s="112"/>
      <c r="E774" s="112"/>
      <c r="F774" s="74"/>
      <c r="G774" s="74"/>
      <c r="J774" s="113"/>
    </row>
    <row r="775" spans="1:10" ht="13.5" thickBot="1" x14ac:dyDescent="0.35">
      <c r="A775" s="91"/>
      <c r="B775" s="123"/>
      <c r="C775" s="123"/>
      <c r="D775" s="123"/>
      <c r="E775" s="123"/>
      <c r="F775" s="123"/>
      <c r="G775" s="123"/>
      <c r="H775" s="74"/>
      <c r="I775" s="74"/>
      <c r="J775" s="95"/>
    </row>
    <row r="776" spans="1:10" ht="13.5" thickTop="1" x14ac:dyDescent="0.3">
      <c r="A776" s="445"/>
      <c r="B776" s="74"/>
      <c r="C776" s="74"/>
      <c r="D776" s="74"/>
      <c r="E776" s="74"/>
      <c r="F776" s="74"/>
      <c r="G776" s="74"/>
      <c r="H776" s="120"/>
      <c r="I776" s="120"/>
      <c r="J776" s="446"/>
    </row>
    <row r="777" spans="1:10" ht="13" x14ac:dyDescent="0.3">
      <c r="A777" s="91"/>
      <c r="B777" s="74"/>
      <c r="C777" s="74"/>
      <c r="D777" s="74"/>
      <c r="E777" s="74"/>
      <c r="F777" s="74"/>
      <c r="G777" s="74"/>
      <c r="J777" s="95"/>
    </row>
    <row r="778" spans="1:10" ht="25.5" customHeight="1" x14ac:dyDescent="0.3">
      <c r="A778" s="91"/>
      <c r="B778" s="937" t="s">
        <v>522</v>
      </c>
      <c r="C778" s="938"/>
      <c r="D778" s="938"/>
      <c r="E778" s="938"/>
      <c r="F778" s="938"/>
      <c r="G778" s="939"/>
      <c r="H778" s="131" t="s">
        <v>242</v>
      </c>
      <c r="I778" s="131" t="s">
        <v>242</v>
      </c>
      <c r="J778" s="95"/>
    </row>
    <row r="779" spans="1:10" ht="13" x14ac:dyDescent="0.3">
      <c r="A779" s="91"/>
      <c r="B779" s="74"/>
      <c r="C779" s="74"/>
      <c r="D779" s="74"/>
      <c r="E779" s="74"/>
      <c r="F779" s="74"/>
      <c r="G779" s="74"/>
      <c r="H779" s="103" t="str">
        <f>+'Unit tariffs'!$F$11</f>
        <v>2026/2027</v>
      </c>
      <c r="I779" s="103" t="str">
        <f>+'Unit tariffs'!$F$11</f>
        <v>2026/2027</v>
      </c>
      <c r="J779" s="444" t="s">
        <v>313</v>
      </c>
    </row>
    <row r="780" spans="1:10" ht="13" x14ac:dyDescent="0.3">
      <c r="A780" s="91"/>
      <c r="B780" s="74"/>
      <c r="C780" s="74"/>
      <c r="D780" s="74"/>
      <c r="E780" s="74"/>
      <c r="F780" s="74"/>
      <c r="G780" s="74"/>
      <c r="H780" s="127"/>
      <c r="I780" s="127"/>
      <c r="J780" s="450"/>
    </row>
    <row r="781" spans="1:10" ht="13" x14ac:dyDescent="0.3">
      <c r="A781" s="91"/>
      <c r="B781" s="104" t="s">
        <v>117</v>
      </c>
      <c r="C781" s="74"/>
      <c r="D781" s="74"/>
      <c r="E781" s="74"/>
      <c r="F781" s="74"/>
      <c r="G781" s="74"/>
      <c r="H781" s="127"/>
      <c r="I781" s="127"/>
      <c r="J781" s="450"/>
    </row>
    <row r="782" spans="1:10" ht="13" x14ac:dyDescent="0.3">
      <c r="A782" s="91"/>
      <c r="B782" s="74" t="s">
        <v>118</v>
      </c>
      <c r="C782" s="74"/>
      <c r="D782" s="74"/>
      <c r="E782" s="74"/>
      <c r="F782" s="74"/>
      <c r="G782" s="74"/>
      <c r="J782" s="105"/>
    </row>
    <row r="783" spans="1:10" ht="13" x14ac:dyDescent="0.3">
      <c r="A783" s="91"/>
      <c r="B783" s="74"/>
      <c r="C783" s="74"/>
      <c r="D783" s="74"/>
      <c r="E783" s="74"/>
      <c r="F783" s="74"/>
      <c r="G783" s="74"/>
      <c r="J783" s="105"/>
    </row>
    <row r="784" spans="1:10" ht="13" x14ac:dyDescent="0.3">
      <c r="A784" s="91"/>
      <c r="B784" s="74">
        <v>7.5</v>
      </c>
      <c r="C784" s="74" t="str">
        <f>'Unit tariffs'!B$137</f>
        <v>Primary Backbone - Peri Urban</v>
      </c>
      <c r="D784" s="74"/>
      <c r="E784" s="74"/>
      <c r="F784" s="74" t="str">
        <f>'Unit tariffs'!C$137</f>
        <v>per kVA</v>
      </c>
      <c r="G784" s="74"/>
      <c r="H784" s="76">
        <v>9528.2055000000018</v>
      </c>
      <c r="I784" s="76">
        <f>VLOOKUP($C784,'Unit tariffs'!$B$21:$F$155,5,FALSE)*$B784</f>
        <v>10766.233825231502</v>
      </c>
      <c r="J784" s="105"/>
    </row>
    <row r="785" spans="1:10" ht="13" x14ac:dyDescent="0.3">
      <c r="A785" s="91"/>
      <c r="B785" s="85">
        <v>7.5</v>
      </c>
      <c r="C785" s="85" t="str">
        <f>'Unit tariffs'!B138</f>
        <v>Secondary Backbone - MV Peri Urban</v>
      </c>
      <c r="D785" s="85"/>
      <c r="E785" s="85"/>
      <c r="F785" s="85" t="str">
        <f>'Unit tariffs'!C$137</f>
        <v>per kVA</v>
      </c>
      <c r="G785" s="85"/>
      <c r="H785" s="188">
        <v>8018.2162500000013</v>
      </c>
      <c r="I785" s="188">
        <f>VLOOKUP($C785,'Unit tariffs'!$B$21:$F$155,5,FALSE)*$B785</f>
        <v>9060.0471420112499</v>
      </c>
      <c r="J785" s="105"/>
    </row>
    <row r="786" spans="1:10" ht="13" x14ac:dyDescent="0.3">
      <c r="A786" s="91"/>
      <c r="B786" s="74">
        <v>7.5</v>
      </c>
      <c r="C786" s="74" t="str">
        <f>'Unit tariffs'!B$139</f>
        <v>Secondary Backbone - LV Peri Urban</v>
      </c>
      <c r="D786" s="74"/>
      <c r="E786" s="74"/>
      <c r="F786" s="74" t="str">
        <f>'Unit tariffs'!C$137</f>
        <v>per kVA</v>
      </c>
      <c r="G786" s="74"/>
      <c r="H786" s="83">
        <v>13153.668000000003</v>
      </c>
      <c r="I786" s="83">
        <f>VLOOKUP($C786,'Unit tariffs'!$B$21:$F$155,5,FALSE)*$B786</f>
        <v>14862.763544244002</v>
      </c>
      <c r="J786" s="105"/>
    </row>
    <row r="787" spans="1:10" ht="13" x14ac:dyDescent="0.3">
      <c r="A787" s="91"/>
      <c r="B787" s="74"/>
      <c r="C787" s="74"/>
      <c r="D787" s="74"/>
      <c r="E787" s="74"/>
      <c r="F787" s="74"/>
      <c r="G787" s="74"/>
      <c r="H787" s="82">
        <v>22681.873500000005</v>
      </c>
      <c r="I787" s="82">
        <f>+I786+I784</f>
        <v>25628.997369475503</v>
      </c>
      <c r="J787" s="105"/>
    </row>
    <row r="788" spans="1:10" ht="13.5" x14ac:dyDescent="0.35">
      <c r="A788" s="91"/>
      <c r="B788" s="74"/>
      <c r="C788" s="74"/>
      <c r="D788" s="74"/>
      <c r="E788" s="74"/>
      <c r="F788" s="74"/>
      <c r="G788" s="74"/>
      <c r="H788" s="135"/>
      <c r="I788" s="135"/>
      <c r="J788" s="450"/>
    </row>
    <row r="789" spans="1:10" ht="13" hidden="1" x14ac:dyDescent="0.3">
      <c r="A789" s="91"/>
      <c r="B789" s="74"/>
      <c r="C789" s="74"/>
      <c r="D789" s="74"/>
      <c r="E789" s="74"/>
      <c r="F789" s="74"/>
      <c r="G789" s="74"/>
      <c r="H789" s="136"/>
      <c r="I789" s="136"/>
      <c r="J789" s="95"/>
    </row>
    <row r="790" spans="1:10" ht="13" hidden="1" x14ac:dyDescent="0.3">
      <c r="A790" s="91"/>
      <c r="B790" s="104" t="s">
        <v>41</v>
      </c>
      <c r="C790" s="74"/>
      <c r="D790" s="74"/>
      <c r="E790" s="74"/>
      <c r="F790" s="74"/>
      <c r="G790" s="74"/>
      <c r="H790" s="136"/>
      <c r="I790" s="136"/>
      <c r="J790" s="95"/>
    </row>
    <row r="791" spans="1:10" ht="13" hidden="1" x14ac:dyDescent="0.3">
      <c r="A791" s="91"/>
      <c r="B791" s="74"/>
      <c r="C791" s="74"/>
      <c r="D791" s="74"/>
      <c r="E791" s="74"/>
      <c r="F791" s="74"/>
      <c r="G791" s="74"/>
      <c r="H791" s="76">
        <v>7323.5537155157153</v>
      </c>
      <c r="I791" s="76">
        <f>VLOOKUP($C792,'Unit tariffs'!$B$21:$F$123,5,FALSE)*$B792</f>
        <v>0</v>
      </c>
      <c r="J791" s="105"/>
    </row>
    <row r="792" spans="1:10" ht="13" hidden="1" x14ac:dyDescent="0.3">
      <c r="A792" s="91"/>
      <c r="B792" s="74">
        <v>1</v>
      </c>
      <c r="C792" s="74" t="str">
        <f>'Unit tariffs'!B36</f>
        <v xml:space="preserve">Prepaid meter (Split) 3 phase - </v>
      </c>
      <c r="D792" s="74"/>
      <c r="E792" s="74"/>
      <c r="F792" s="74"/>
      <c r="G792" s="74"/>
      <c r="H792" s="76">
        <v>587.413658244972</v>
      </c>
      <c r="I792" s="76">
        <f>VLOOKUP($C793,'Unit tariffs'!$B$21:$F$123,5,FALSE)*$B793</f>
        <v>0</v>
      </c>
      <c r="J792" s="105"/>
    </row>
    <row r="793" spans="1:10" ht="13" hidden="1" x14ac:dyDescent="0.3">
      <c r="A793" s="91"/>
      <c r="B793" s="74">
        <v>3</v>
      </c>
      <c r="C793" s="74" t="str">
        <f>'Unit tariffs'!B43</f>
        <v>x 80 A circuit breaker (5kA) - Orange</v>
      </c>
      <c r="D793" s="74"/>
      <c r="E793" s="74"/>
      <c r="F793" s="74"/>
      <c r="G793" s="74"/>
      <c r="H793" s="76">
        <v>587.413658244972</v>
      </c>
      <c r="I793" s="76">
        <f>VLOOKUP($C795,'Unit tariffs'!$B$21:$F$123,5,FALSE)*$B795</f>
        <v>0</v>
      </c>
      <c r="J793" s="105"/>
    </row>
    <row r="794" spans="1:10" ht="13" x14ac:dyDescent="0.3">
      <c r="A794" s="91"/>
      <c r="B794" s="74">
        <v>1</v>
      </c>
      <c r="C794" s="77" t="s">
        <v>229</v>
      </c>
      <c r="D794" s="74"/>
      <c r="E794" s="74"/>
      <c r="F794" s="74"/>
      <c r="G794" s="74"/>
      <c r="H794" s="189">
        <v>7323.5537155157153</v>
      </c>
      <c r="I794" s="189">
        <f>VLOOKUP($C794,'Unit tariffs'!$B$21:$F$123,5,FALSE)*$B794</f>
        <v>0</v>
      </c>
      <c r="J794" s="457" t="e">
        <f>IF(+I794*'Unit tariffs'!#REF!&gt;'Unit tariffs'!#REF!,'Unit tariffs'!#REF!,+I794*'Unit tariffs'!#REF!)</f>
        <v>#REF!</v>
      </c>
    </row>
    <row r="795" spans="1:10" ht="13" x14ac:dyDescent="0.3">
      <c r="A795" s="91"/>
      <c r="B795" s="74">
        <v>3</v>
      </c>
      <c r="C795" s="74" t="s">
        <v>99</v>
      </c>
      <c r="D795" s="74"/>
      <c r="E795" s="74"/>
      <c r="F795" s="74"/>
      <c r="G795" s="74"/>
      <c r="H795" s="76">
        <v>587.413658244972</v>
      </c>
      <c r="I795" s="76">
        <f>VLOOKUP($C795,'Unit tariffs'!$B$21:$F$123,5,FALSE)*$B795</f>
        <v>0</v>
      </c>
      <c r="J795" s="457" t="e">
        <f>IF(+I795*'Unit tariffs'!#REF!&gt;'Unit tariffs'!#REF!,'Unit tariffs'!#REF!,+I795*'Unit tariffs'!#REF!)</f>
        <v>#REF!</v>
      </c>
    </row>
    <row r="796" spans="1:10" ht="13" x14ac:dyDescent="0.3">
      <c r="A796" s="91"/>
      <c r="B796" s="74">
        <v>0</v>
      </c>
      <c r="C796" s="74" t="s">
        <v>143</v>
      </c>
      <c r="D796" s="74"/>
      <c r="E796" s="74"/>
      <c r="F796" s="74"/>
      <c r="G796" s="74"/>
      <c r="H796" s="76">
        <v>0</v>
      </c>
      <c r="I796" s="76">
        <f>VLOOKUP($C796,'Unit tariffs'!$B$21:$F$123,5,FALSE)*$B796</f>
        <v>0</v>
      </c>
      <c r="J796" s="457" t="e">
        <f>IF(+I796*'Unit tariffs'!#REF!&gt;'Unit tariffs'!#REF!,'Unit tariffs'!#REF!,+I796*'Unit tariffs'!#REF!)</f>
        <v>#REF!</v>
      </c>
    </row>
    <row r="797" spans="1:10" ht="13" x14ac:dyDescent="0.3">
      <c r="A797" s="91"/>
      <c r="B797" s="85">
        <v>0</v>
      </c>
      <c r="C797" s="74" t="s">
        <v>17</v>
      </c>
      <c r="D797" s="74"/>
      <c r="E797" s="74"/>
      <c r="F797" s="74"/>
      <c r="G797" s="74"/>
      <c r="H797" s="76">
        <v>0</v>
      </c>
      <c r="I797" s="76">
        <f>VLOOKUP($C797,'Unit tariffs'!$B$21:$F$123,5,FALSE)*$B797</f>
        <v>0</v>
      </c>
      <c r="J797" s="457" t="e">
        <f>IF(+I797*'Unit tariffs'!#REF!&gt;'Unit tariffs'!#REF!,'Unit tariffs'!#REF!,+I797*'Unit tariffs'!#REF!)</f>
        <v>#REF!</v>
      </c>
    </row>
    <row r="798" spans="1:10" ht="13" x14ac:dyDescent="0.3">
      <c r="A798" s="91"/>
      <c r="B798" s="85">
        <v>0</v>
      </c>
      <c r="C798" s="74" t="str">
        <f>'Unit tariffs'!B38</f>
        <v xml:space="preserve"> Rural household meter box</v>
      </c>
      <c r="D798" s="74"/>
      <c r="E798" s="74"/>
      <c r="F798" s="74"/>
      <c r="G798" s="74"/>
      <c r="H798" s="76">
        <v>0</v>
      </c>
      <c r="I798" s="76">
        <f>VLOOKUP($C798,'Unit tariffs'!$B$21:$F$123,5,FALSE)*$B798</f>
        <v>0</v>
      </c>
      <c r="J798" s="457" t="e">
        <f>IF(+I798*'Unit tariffs'!#REF!&gt;'Unit tariffs'!#REF!,'Unit tariffs'!#REF!,+I798*'Unit tariffs'!#REF!)</f>
        <v>#REF!</v>
      </c>
    </row>
    <row r="799" spans="1:10" ht="13" x14ac:dyDescent="0.3">
      <c r="A799" s="91"/>
      <c r="B799" s="85">
        <v>0</v>
      </c>
      <c r="C799" s="74" t="s">
        <v>90</v>
      </c>
      <c r="D799" s="74"/>
      <c r="E799" s="74"/>
      <c r="F799" s="74"/>
      <c r="G799" s="74"/>
      <c r="H799" s="76">
        <v>0</v>
      </c>
      <c r="I799" s="76">
        <f>VLOOKUP($C799,'Unit tariffs'!$B$21:$F$123,5,FALSE)*$B799</f>
        <v>0</v>
      </c>
      <c r="J799" s="457" t="e">
        <f>IF(+I799*'Unit tariffs'!#REF!&gt;'Unit tariffs'!#REF!,'Unit tariffs'!#REF!,+I799*'Unit tariffs'!#REF!)</f>
        <v>#REF!</v>
      </c>
    </row>
    <row r="800" spans="1:10" ht="13" x14ac:dyDescent="0.3">
      <c r="A800" s="91"/>
      <c r="B800" s="85">
        <v>0</v>
      </c>
      <c r="C800" s="74" t="s">
        <v>11</v>
      </c>
      <c r="D800" s="74"/>
      <c r="E800" s="74"/>
      <c r="F800" s="74"/>
      <c r="G800" s="74"/>
      <c r="H800" s="76">
        <v>0</v>
      </c>
      <c r="I800" s="76">
        <f>VLOOKUP($C800,'Unit tariffs'!$B$21:$F$123,5,FALSE)*$B800</f>
        <v>0</v>
      </c>
      <c r="J800" s="457" t="e">
        <f>IF(+I800*'Unit tariffs'!#REF!&gt;'Unit tariffs'!#REF!,'Unit tariffs'!#REF!,+I800*'Unit tariffs'!#REF!)</f>
        <v>#REF!</v>
      </c>
    </row>
    <row r="801" spans="1:10" ht="13" x14ac:dyDescent="0.3">
      <c r="A801" s="91"/>
      <c r="B801" s="85">
        <v>0</v>
      </c>
      <c r="C801" s="74" t="s">
        <v>5</v>
      </c>
      <c r="D801" s="74"/>
      <c r="E801" s="74"/>
      <c r="F801" s="74"/>
      <c r="G801" s="74"/>
      <c r="H801" s="76">
        <v>0</v>
      </c>
      <c r="I801" s="76">
        <f>VLOOKUP($C801,'Unit tariffs'!$B$21:$F$123,5,FALSE)*$B801</f>
        <v>0</v>
      </c>
      <c r="J801" s="457" t="e">
        <f>IF(+I801*'Unit tariffs'!#REF!&gt;'Unit tariffs'!#REF!,'Unit tariffs'!#REF!,+I801*'Unit tariffs'!#REF!)</f>
        <v>#REF!</v>
      </c>
    </row>
    <row r="802" spans="1:10" ht="13" x14ac:dyDescent="0.3">
      <c r="A802" s="91"/>
      <c r="B802" s="85">
        <v>0</v>
      </c>
      <c r="C802" s="74" t="s">
        <v>93</v>
      </c>
      <c r="D802" s="74"/>
      <c r="E802" s="74"/>
      <c r="F802" s="74"/>
      <c r="G802" s="74"/>
      <c r="H802" s="76">
        <v>0</v>
      </c>
      <c r="I802" s="76">
        <f>VLOOKUP($C802,'Unit tariffs'!$B$21:$F$123,5,FALSE)*$B802</f>
        <v>0</v>
      </c>
      <c r="J802" s="457" t="e">
        <f>IF(+I802*'Unit tariffs'!#REF!&gt;'Unit tariffs'!#REF!,'Unit tariffs'!#REF!,+I802*'Unit tariffs'!#REF!)</f>
        <v>#REF!</v>
      </c>
    </row>
    <row r="803" spans="1:10" ht="13" x14ac:dyDescent="0.3">
      <c r="A803" s="91"/>
      <c r="B803" s="85">
        <v>0</v>
      </c>
      <c r="C803" s="74" t="s">
        <v>188</v>
      </c>
      <c r="D803" s="74"/>
      <c r="E803" s="74"/>
      <c r="F803" s="74"/>
      <c r="G803" s="74"/>
      <c r="H803" s="81">
        <v>0</v>
      </c>
      <c r="I803" s="81">
        <f>VLOOKUP($C803,'Unit tariffs'!$B$21:$F$123,5,FALSE)*$B803</f>
        <v>0</v>
      </c>
      <c r="J803" s="457" t="e">
        <f>IF(+I803*'Unit tariffs'!#REF!&gt;'Unit tariffs'!#REF!,'Unit tariffs'!#REF!,+I803*'Unit tariffs'!#REF!)</f>
        <v>#REF!</v>
      </c>
    </row>
    <row r="804" spans="1:10" ht="13" x14ac:dyDescent="0.3">
      <c r="A804" s="91"/>
      <c r="G804" s="74"/>
      <c r="H804" s="82">
        <v>7910.9673737606872</v>
      </c>
      <c r="I804" s="82">
        <f>SUM(I794:I803)</f>
        <v>0</v>
      </c>
      <c r="J804" s="105"/>
    </row>
    <row r="805" spans="1:10" ht="13" x14ac:dyDescent="0.3">
      <c r="A805" s="91"/>
      <c r="B805" s="74"/>
      <c r="C805" s="74"/>
      <c r="D805" s="74"/>
      <c r="E805" s="74"/>
      <c r="F805" s="74"/>
      <c r="G805" s="76"/>
      <c r="H805" s="74"/>
      <c r="I805" s="74"/>
      <c r="J805" s="95"/>
    </row>
    <row r="806" spans="1:10" ht="13" x14ac:dyDescent="0.3">
      <c r="A806" s="91"/>
      <c r="B806" s="104" t="s">
        <v>42</v>
      </c>
      <c r="C806" s="74"/>
      <c r="D806" s="74"/>
      <c r="E806" s="74"/>
      <c r="F806" s="74"/>
      <c r="G806" s="74"/>
      <c r="H806" s="74"/>
      <c r="I806" s="74"/>
      <c r="J806" s="95"/>
    </row>
    <row r="807" spans="1:10" ht="13" x14ac:dyDescent="0.3">
      <c r="A807" s="91"/>
      <c r="B807" s="74"/>
      <c r="C807" s="74"/>
      <c r="D807" s="74"/>
      <c r="E807" s="74"/>
      <c r="F807" s="74"/>
      <c r="G807" s="74"/>
      <c r="J807" s="105"/>
    </row>
    <row r="808" spans="1:10" ht="13" x14ac:dyDescent="0.3">
      <c r="A808" s="91"/>
      <c r="B808" s="74">
        <v>4</v>
      </c>
      <c r="C808" s="74" t="str">
        <f>'Unit tariffs'!B$87</f>
        <v xml:space="preserve">hour-artisan </v>
      </c>
      <c r="D808" s="74"/>
      <c r="E808" s="74"/>
      <c r="F808" s="74"/>
      <c r="G808" s="74"/>
      <c r="H808" s="82">
        <v>1291.4089269230769</v>
      </c>
      <c r="I808" s="82">
        <f>+'Unit tariffs'!F87*B808</f>
        <v>1404.7710646153848</v>
      </c>
      <c r="J808" s="105"/>
    </row>
    <row r="809" spans="1:10" ht="13" x14ac:dyDescent="0.3">
      <c r="A809" s="91"/>
      <c r="B809" s="74">
        <f>+B808*2</f>
        <v>8</v>
      </c>
      <c r="C809" s="74" t="str">
        <f>'Unit tariffs'!B$85</f>
        <v>hour-artisan assistant</v>
      </c>
      <c r="D809" s="74"/>
      <c r="E809" s="74"/>
      <c r="F809" s="74"/>
      <c r="G809" s="74"/>
      <c r="H809" s="83">
        <v>1028.2864615384617</v>
      </c>
      <c r="I809" s="83">
        <f>+'Unit tariffs'!F85*B809</f>
        <v>1118.5940676923078</v>
      </c>
      <c r="J809" s="105"/>
    </row>
    <row r="810" spans="1:10" ht="13" x14ac:dyDescent="0.3">
      <c r="A810" s="91"/>
      <c r="B810" s="74"/>
      <c r="C810" s="74"/>
      <c r="D810" s="74"/>
      <c r="E810" s="74"/>
      <c r="F810" s="74"/>
      <c r="G810" s="74"/>
      <c r="H810" s="82">
        <v>2319.6953884615386</v>
      </c>
      <c r="I810" s="82">
        <f>+I808+I809</f>
        <v>2523.3651323076929</v>
      </c>
      <c r="J810" s="95"/>
    </row>
    <row r="811" spans="1:10" ht="13" x14ac:dyDescent="0.3">
      <c r="A811" s="91"/>
      <c r="B811" s="104" t="s">
        <v>43</v>
      </c>
      <c r="C811" s="74"/>
      <c r="D811" s="74"/>
      <c r="E811" s="74"/>
      <c r="F811" s="74"/>
      <c r="G811" s="74"/>
      <c r="H811" s="136"/>
      <c r="I811" s="136"/>
      <c r="J811" s="95"/>
    </row>
    <row r="812" spans="1:10" ht="13" x14ac:dyDescent="0.3">
      <c r="A812" s="91"/>
      <c r="B812" s="74"/>
      <c r="C812" s="74"/>
      <c r="D812" s="74"/>
      <c r="E812" s="74"/>
      <c r="F812" s="74"/>
      <c r="G812" s="74"/>
      <c r="H812" s="136"/>
      <c r="I812" s="136"/>
      <c r="J812" s="105"/>
    </row>
    <row r="813" spans="1:10" ht="13" x14ac:dyDescent="0.3">
      <c r="A813" s="91"/>
      <c r="B813" s="74">
        <v>30</v>
      </c>
      <c r="C813" s="74" t="str">
        <f>'Unit tariffs'!B$111</f>
        <v>km-truck with platform</v>
      </c>
      <c r="D813" s="74"/>
      <c r="E813" s="74"/>
      <c r="F813" s="74"/>
      <c r="G813" s="74"/>
      <c r="H813" s="82">
        <v>1263.6151042727799</v>
      </c>
      <c r="I813" s="82">
        <f>+'Unit tariffs'!F111*B813</f>
        <v>1478.4996522648166</v>
      </c>
      <c r="J813" s="105"/>
    </row>
    <row r="814" spans="1:10" ht="13" x14ac:dyDescent="0.3">
      <c r="A814" s="91"/>
      <c r="B814" s="74">
        <f>+B808</f>
        <v>4</v>
      </c>
      <c r="C814" s="74" t="str">
        <f>'Unit tariffs'!B$112</f>
        <v>hour-truck with platform</v>
      </c>
      <c r="D814" s="74"/>
      <c r="E814" s="74"/>
      <c r="F814" s="74"/>
      <c r="G814" s="74"/>
      <c r="H814" s="83">
        <v>819.93766924669251</v>
      </c>
      <c r="I814" s="83">
        <f>+'Unit tariffs'!F112*B814</f>
        <v>959.37248198511679</v>
      </c>
      <c r="J814" s="105"/>
    </row>
    <row r="815" spans="1:10" ht="13.5" thickBot="1" x14ac:dyDescent="0.35">
      <c r="A815" s="91"/>
      <c r="B815" s="74"/>
      <c r="C815" s="74"/>
      <c r="D815" s="74"/>
      <c r="E815" s="74"/>
      <c r="F815" s="74"/>
      <c r="G815" s="74"/>
      <c r="H815" s="144">
        <v>2083.5527735194723</v>
      </c>
      <c r="I815" s="144">
        <f>+I814+I813</f>
        <v>2437.8721342499334</v>
      </c>
      <c r="J815" s="105"/>
    </row>
    <row r="816" spans="1:10" ht="13.5" thickTop="1" x14ac:dyDescent="0.3">
      <c r="A816" s="91"/>
      <c r="B816" s="74"/>
      <c r="C816" s="74"/>
      <c r="D816" s="74"/>
      <c r="E816" s="74"/>
      <c r="F816" s="74"/>
      <c r="G816" s="76"/>
      <c r="H816" s="82">
        <v>34996.089035741708</v>
      </c>
      <c r="I816" s="82">
        <f>+I815+I810+I804+I787</f>
        <v>30590.234636033128</v>
      </c>
      <c r="J816" s="105"/>
    </row>
    <row r="817" spans="1:10" ht="13.5" thickBot="1" x14ac:dyDescent="0.35">
      <c r="A817" s="91"/>
      <c r="B817" s="104" t="str">
        <f>'Unit tariffs'!$B$7</f>
        <v>Administration Levy (Indirect Cost)</v>
      </c>
      <c r="C817" s="74"/>
      <c r="D817" s="106">
        <f>'Unit tariffs'!$C$7</f>
        <v>0.1</v>
      </c>
      <c r="E817" s="74" t="s">
        <v>311</v>
      </c>
      <c r="F817" s="186">
        <f>+'Unit tariffs'!$F$7</f>
        <v>10000</v>
      </c>
      <c r="G817" s="76"/>
      <c r="H817" s="108">
        <v>3499.6089035741711</v>
      </c>
      <c r="I817" s="108">
        <f>IF(I816*$D817&gt;='Unit tariffs'!$E$7,'Unit tariffs'!$E$7,I816*$D817)</f>
        <v>3059.0234636033128</v>
      </c>
      <c r="J817" s="105"/>
    </row>
    <row r="818" spans="1:10" ht="13.5" thickTop="1" x14ac:dyDescent="0.3">
      <c r="A818" s="91"/>
      <c r="B818" s="104" t="s">
        <v>44</v>
      </c>
      <c r="C818" s="74"/>
      <c r="D818" s="74"/>
      <c r="E818" s="74"/>
      <c r="F818" s="74"/>
      <c r="G818" s="76"/>
      <c r="H818" s="129">
        <v>38495.697939315876</v>
      </c>
      <c r="I818" s="129">
        <f>+I816+I817</f>
        <v>33649.258099636441</v>
      </c>
      <c r="J818" s="105"/>
    </row>
    <row r="819" spans="1:10" ht="13" x14ac:dyDescent="0.3">
      <c r="A819" s="91"/>
      <c r="B819" s="104"/>
      <c r="C819" s="74"/>
      <c r="D819" s="74"/>
      <c r="E819" s="74"/>
      <c r="F819" s="74"/>
      <c r="G819" s="76"/>
      <c r="H819" s="82"/>
      <c r="I819" s="82"/>
      <c r="J819" s="110"/>
    </row>
    <row r="820" spans="1:10" ht="13" x14ac:dyDescent="0.3">
      <c r="A820" s="91"/>
      <c r="B820" s="104" t="s">
        <v>45</v>
      </c>
      <c r="C820" s="74"/>
      <c r="D820" s="74"/>
      <c r="E820" s="74"/>
      <c r="F820" s="74"/>
      <c r="G820" s="74"/>
      <c r="H820" s="84">
        <v>38500</v>
      </c>
      <c r="I820" s="84">
        <f>ROUND(I818,-1)</f>
        <v>33650</v>
      </c>
      <c r="J820" s="105"/>
    </row>
    <row r="821" spans="1:10" ht="13" x14ac:dyDescent="0.3">
      <c r="A821" s="91"/>
      <c r="B821" s="74"/>
      <c r="C821" s="74"/>
      <c r="D821" s="74"/>
      <c r="E821" s="74"/>
      <c r="F821" s="74"/>
      <c r="G821" s="74"/>
      <c r="H821" s="76"/>
      <c r="I821" s="76"/>
      <c r="J821" s="113"/>
    </row>
    <row r="822" spans="1:10" ht="13" x14ac:dyDescent="0.3">
      <c r="A822" s="91"/>
      <c r="B822" s="74"/>
      <c r="C822" s="74"/>
      <c r="D822" s="74"/>
      <c r="E822" s="74"/>
      <c r="F822" s="74"/>
      <c r="G822" s="74"/>
      <c r="H822" s="112">
        <v>0.14413075780089152</v>
      </c>
      <c r="I822" s="112">
        <f>(I820-H820)/H820</f>
        <v>-0.12597402597402596</v>
      </c>
      <c r="J822" s="113"/>
    </row>
    <row r="823" spans="1:10" ht="13.5" thickBot="1" x14ac:dyDescent="0.35">
      <c r="A823" s="448"/>
      <c r="B823" s="123"/>
      <c r="C823" s="123"/>
      <c r="D823" s="123"/>
      <c r="E823" s="123"/>
      <c r="F823" s="123"/>
      <c r="G823" s="123"/>
      <c r="H823" s="130"/>
      <c r="I823" s="130"/>
      <c r="J823" s="454"/>
    </row>
    <row r="824" spans="1:10" ht="13.5" thickTop="1" x14ac:dyDescent="0.3">
      <c r="A824" s="91"/>
      <c r="B824" s="74"/>
      <c r="C824" s="74"/>
      <c r="D824" s="74"/>
      <c r="E824" s="74"/>
      <c r="F824" s="74"/>
      <c r="G824" s="74"/>
      <c r="H824" s="74"/>
      <c r="I824" s="74"/>
      <c r="J824" s="95"/>
    </row>
    <row r="825" spans="1:10" ht="27" customHeight="1" x14ac:dyDescent="0.3">
      <c r="A825" s="91"/>
      <c r="B825" s="966" t="s">
        <v>523</v>
      </c>
      <c r="C825" s="967"/>
      <c r="D825" s="967"/>
      <c r="E825" s="967"/>
      <c r="F825" s="967"/>
      <c r="G825" s="968"/>
      <c r="H825" s="131" t="s">
        <v>243</v>
      </c>
      <c r="I825" s="131" t="s">
        <v>243</v>
      </c>
      <c r="J825" s="95"/>
    </row>
    <row r="826" spans="1:10" ht="13" x14ac:dyDescent="0.3">
      <c r="A826" s="91"/>
      <c r="B826" s="74"/>
      <c r="C826" s="74"/>
      <c r="D826" s="74"/>
      <c r="E826" s="74"/>
      <c r="F826" s="74"/>
      <c r="G826" s="74"/>
      <c r="H826" s="103" t="str">
        <f>+'Unit tariffs'!$F$11</f>
        <v>2026/2027</v>
      </c>
      <c r="I826" s="103" t="str">
        <f>+'Unit tariffs'!$F$11</f>
        <v>2026/2027</v>
      </c>
      <c r="J826" s="444" t="s">
        <v>313</v>
      </c>
    </row>
    <row r="827" spans="1:10" ht="13" x14ac:dyDescent="0.3">
      <c r="A827" s="91"/>
      <c r="B827" s="74"/>
      <c r="C827" s="74"/>
      <c r="D827" s="74"/>
      <c r="E827" s="74"/>
      <c r="F827" s="74"/>
      <c r="G827" s="74"/>
      <c r="H827" s="127"/>
      <c r="I827" s="127"/>
      <c r="J827" s="450"/>
    </row>
    <row r="828" spans="1:10" ht="13" x14ac:dyDescent="0.3">
      <c r="A828" s="91"/>
      <c r="B828" s="104" t="s">
        <v>117</v>
      </c>
      <c r="C828" s="74"/>
      <c r="D828" s="74"/>
      <c r="E828" s="74"/>
      <c r="F828" s="74"/>
      <c r="G828" s="74"/>
      <c r="H828" s="127"/>
      <c r="I828" s="127"/>
      <c r="J828" s="450"/>
    </row>
    <row r="829" spans="1:10" ht="13" x14ac:dyDescent="0.3">
      <c r="A829" s="91"/>
      <c r="B829" s="74" t="s">
        <v>118</v>
      </c>
      <c r="C829" s="74"/>
      <c r="D829" s="74"/>
      <c r="E829" s="74"/>
      <c r="F829" s="74"/>
      <c r="G829" s="74"/>
      <c r="J829" s="105"/>
    </row>
    <row r="830" spans="1:10" ht="13" x14ac:dyDescent="0.3">
      <c r="A830" s="91"/>
      <c r="B830" s="74"/>
      <c r="C830" s="74"/>
      <c r="D830" s="74"/>
      <c r="E830" s="74"/>
      <c r="F830" s="74"/>
      <c r="G830" s="74"/>
      <c r="J830" s="105"/>
    </row>
    <row r="831" spans="1:10" ht="13" x14ac:dyDescent="0.3">
      <c r="A831" s="91"/>
      <c r="B831" s="85">
        <v>7.5</v>
      </c>
      <c r="C831" s="85" t="str">
        <f>'Unit tariffs'!B138</f>
        <v>Secondary Backbone - MV Peri Urban</v>
      </c>
      <c r="D831" s="85"/>
      <c r="E831" s="85"/>
      <c r="F831" s="85" t="str">
        <f>'Unit tariffs'!C$138</f>
        <v>per kVA</v>
      </c>
      <c r="G831" s="85"/>
      <c r="H831" s="188">
        <v>8018.2162500000013</v>
      </c>
      <c r="I831" s="188">
        <f>VLOOKUP($C831,'Unit tariffs'!$B$21:$F$158,5,FALSE)*$B831</f>
        <v>9060.0471420112499</v>
      </c>
      <c r="J831" s="105"/>
    </row>
    <row r="832" spans="1:10" ht="13" x14ac:dyDescent="0.3">
      <c r="A832" s="91"/>
      <c r="B832" s="74">
        <v>7.5</v>
      </c>
      <c r="C832" s="74" t="str">
        <f>'Unit tariffs'!B$139</f>
        <v>Secondary Backbone - LV Peri Urban</v>
      </c>
      <c r="D832" s="74"/>
      <c r="E832" s="74"/>
      <c r="F832" s="74" t="str">
        <f>'Unit tariffs'!C$138</f>
        <v>per kVA</v>
      </c>
      <c r="G832" s="74"/>
      <c r="H832" s="81">
        <v>13153.668000000003</v>
      </c>
      <c r="I832" s="81">
        <f>VLOOKUP($C832,'Unit tariffs'!$B$21:$F$158,5,FALSE)*$B832</f>
        <v>14862.763544244002</v>
      </c>
      <c r="J832" s="105"/>
    </row>
    <row r="833" spans="1:10" ht="13" x14ac:dyDescent="0.3">
      <c r="A833" s="91"/>
      <c r="B833" s="74"/>
      <c r="C833" s="74"/>
      <c r="D833" s="74"/>
      <c r="E833" s="74"/>
      <c r="F833" s="74"/>
      <c r="G833" s="74"/>
      <c r="H833" s="76">
        <v>21171.884250000003</v>
      </c>
      <c r="I833" s="76">
        <f>SUM(I831:I832)</f>
        <v>23922.810686255252</v>
      </c>
      <c r="J833" s="450"/>
    </row>
    <row r="834" spans="1:10" ht="13" x14ac:dyDescent="0.3">
      <c r="A834" s="91"/>
      <c r="B834" s="74"/>
      <c r="C834" s="74"/>
      <c r="D834" s="74"/>
      <c r="E834" s="74"/>
      <c r="F834" s="74"/>
      <c r="G834" s="74"/>
      <c r="H834" s="74"/>
      <c r="I834" s="74"/>
      <c r="J834" s="95"/>
    </row>
    <row r="835" spans="1:10" ht="13" x14ac:dyDescent="0.3">
      <c r="A835" s="91"/>
      <c r="B835" s="104" t="s">
        <v>41</v>
      </c>
      <c r="C835" s="74"/>
      <c r="D835" s="74"/>
      <c r="E835" s="74"/>
      <c r="F835" s="74"/>
      <c r="G835" s="74"/>
      <c r="H835" s="76"/>
      <c r="I835" s="76"/>
      <c r="J835" s="105"/>
    </row>
    <row r="836" spans="1:10" ht="13" x14ac:dyDescent="0.3">
      <c r="A836" s="91"/>
      <c r="B836" s="104"/>
      <c r="C836" s="74"/>
      <c r="D836" s="74"/>
      <c r="E836" s="74"/>
      <c r="F836" s="74"/>
      <c r="G836" s="74"/>
      <c r="H836" s="76"/>
      <c r="I836" s="76"/>
      <c r="J836" s="105"/>
    </row>
    <row r="837" spans="1:10" ht="13" x14ac:dyDescent="0.3">
      <c r="A837" s="91"/>
      <c r="B837" s="86">
        <v>1</v>
      </c>
      <c r="C837" s="74" t="s">
        <v>229</v>
      </c>
      <c r="H837" s="76">
        <v>7323.5537155157153</v>
      </c>
      <c r="I837" s="76">
        <f>VLOOKUP($C837,'Unit tariffs'!$B$21:$F$123,5,FALSE)*$B837</f>
        <v>0</v>
      </c>
      <c r="J837" s="457" t="e">
        <f>IF(+I837*'Unit tariffs'!#REF!&gt;'Unit tariffs'!#REF!,'Unit tariffs'!#REF!,+I837*'Unit tariffs'!#REF!)</f>
        <v>#REF!</v>
      </c>
    </row>
    <row r="838" spans="1:10" ht="13" x14ac:dyDescent="0.3">
      <c r="A838" s="91"/>
      <c r="B838" s="74">
        <v>3</v>
      </c>
      <c r="C838" s="74" t="s">
        <v>99</v>
      </c>
      <c r="D838" s="74"/>
      <c r="E838" s="74"/>
      <c r="F838" s="74"/>
      <c r="G838" s="74"/>
      <c r="H838" s="76">
        <v>587.413658244972</v>
      </c>
      <c r="I838" s="76">
        <f>VLOOKUP($C838,'Unit tariffs'!$B$21:$F$123,5,FALSE)*$B838</f>
        <v>0</v>
      </c>
      <c r="J838" s="457" t="e">
        <f>IF(+I838*'Unit tariffs'!#REF!&gt;'Unit tariffs'!#REF!,'Unit tariffs'!#REF!,+I838*'Unit tariffs'!#REF!)</f>
        <v>#REF!</v>
      </c>
    </row>
    <row r="839" spans="1:10" ht="13" x14ac:dyDescent="0.3">
      <c r="A839" s="91"/>
      <c r="B839" s="74">
        <v>0</v>
      </c>
      <c r="C839" s="74" t="s">
        <v>143</v>
      </c>
      <c r="D839" s="74"/>
      <c r="E839" s="74"/>
      <c r="F839" s="74"/>
      <c r="G839" s="74"/>
      <c r="H839" s="76">
        <v>0</v>
      </c>
      <c r="I839" s="76">
        <f>VLOOKUP($C839,'Unit tariffs'!$B$21:$F$123,5,FALSE)*$B839</f>
        <v>0</v>
      </c>
      <c r="J839" s="457" t="e">
        <f>IF(+I839*'Unit tariffs'!#REF!&gt;'Unit tariffs'!#REF!,'Unit tariffs'!#REF!,+I839*'Unit tariffs'!#REF!)</f>
        <v>#REF!</v>
      </c>
    </row>
    <row r="840" spans="1:10" ht="13" x14ac:dyDescent="0.3">
      <c r="A840" s="91"/>
      <c r="B840" s="74">
        <v>1</v>
      </c>
      <c r="C840" s="74" t="s">
        <v>17</v>
      </c>
      <c r="D840" s="74"/>
      <c r="E840" s="74"/>
      <c r="F840" s="74"/>
      <c r="G840" s="74"/>
      <c r="H840" s="76">
        <v>271.44100000000003</v>
      </c>
      <c r="I840" s="76">
        <f>VLOOKUP($C840,'Unit tariffs'!$B$21:$F$123,5,FALSE)*$B840</f>
        <v>282.48325</v>
      </c>
      <c r="J840" s="457" t="e">
        <f>IF(+I840*'Unit tariffs'!#REF!&gt;'Unit tariffs'!#REF!,'Unit tariffs'!#REF!,+I840*'Unit tariffs'!#REF!)</f>
        <v>#REF!</v>
      </c>
    </row>
    <row r="841" spans="1:10" ht="13" x14ac:dyDescent="0.3">
      <c r="A841" s="91"/>
      <c r="B841" s="85">
        <v>0</v>
      </c>
      <c r="C841" s="74" t="str">
        <f>'Unit tariffs'!B38</f>
        <v xml:space="preserve"> Rural household meter box</v>
      </c>
      <c r="D841" s="74"/>
      <c r="E841" s="74"/>
      <c r="F841" s="74"/>
      <c r="G841" s="74"/>
      <c r="H841" s="76">
        <v>0</v>
      </c>
      <c r="I841" s="76">
        <f>VLOOKUP($C841,'Unit tariffs'!$B$21:$F$123,5,FALSE)*$B841</f>
        <v>0</v>
      </c>
      <c r="J841" s="457" t="e">
        <f>IF(+I841*'Unit tariffs'!#REF!&gt;'Unit tariffs'!#REF!,'Unit tariffs'!#REF!,+I841*'Unit tariffs'!#REF!)</f>
        <v>#REF!</v>
      </c>
    </row>
    <row r="842" spans="1:10" ht="13" x14ac:dyDescent="0.3">
      <c r="A842" s="91"/>
      <c r="B842" s="85">
        <v>0</v>
      </c>
      <c r="C842" s="74" t="s">
        <v>90</v>
      </c>
      <c r="D842" s="74"/>
      <c r="E842" s="74"/>
      <c r="F842" s="74"/>
      <c r="G842" s="74"/>
      <c r="H842" s="76">
        <v>0</v>
      </c>
      <c r="I842" s="76">
        <f>VLOOKUP($C842,'Unit tariffs'!$B$21:$F$123,5,FALSE)*$B842</f>
        <v>0</v>
      </c>
      <c r="J842" s="457" t="e">
        <f>IF(+I842*'Unit tariffs'!#REF!&gt;'Unit tariffs'!#REF!,'Unit tariffs'!#REF!,+I842*'Unit tariffs'!#REF!)</f>
        <v>#REF!</v>
      </c>
    </row>
    <row r="843" spans="1:10" ht="13" x14ac:dyDescent="0.3">
      <c r="A843" s="91"/>
      <c r="B843" s="85">
        <v>0</v>
      </c>
      <c r="C843" s="74" t="s">
        <v>11</v>
      </c>
      <c r="D843" s="74"/>
      <c r="E843" s="74"/>
      <c r="F843" s="74"/>
      <c r="G843" s="74"/>
      <c r="H843" s="76">
        <v>0</v>
      </c>
      <c r="I843" s="76">
        <f>VLOOKUP($C843,'Unit tariffs'!$B$21:$F$123,5,FALSE)*$B843</f>
        <v>0</v>
      </c>
      <c r="J843" s="457" t="e">
        <f>IF(+I843*'Unit tariffs'!#REF!&gt;'Unit tariffs'!#REF!,'Unit tariffs'!#REF!,+I843*'Unit tariffs'!#REF!)</f>
        <v>#REF!</v>
      </c>
    </row>
    <row r="844" spans="1:10" ht="13" x14ac:dyDescent="0.3">
      <c r="A844" s="91"/>
      <c r="B844" s="85">
        <v>0</v>
      </c>
      <c r="C844" s="74" t="s">
        <v>5</v>
      </c>
      <c r="D844" s="74"/>
      <c r="E844" s="74"/>
      <c r="F844" s="74"/>
      <c r="G844" s="74"/>
      <c r="H844" s="76">
        <v>0</v>
      </c>
      <c r="I844" s="76">
        <f>VLOOKUP($C844,'Unit tariffs'!$B$21:$F$123,5,FALSE)*$B844</f>
        <v>0</v>
      </c>
      <c r="J844" s="457" t="e">
        <f>IF(+I844*'Unit tariffs'!#REF!&gt;'Unit tariffs'!#REF!,'Unit tariffs'!#REF!,+I844*'Unit tariffs'!#REF!)</f>
        <v>#REF!</v>
      </c>
    </row>
    <row r="845" spans="1:10" ht="13" x14ac:dyDescent="0.3">
      <c r="A845" s="91"/>
      <c r="B845" s="85">
        <v>0</v>
      </c>
      <c r="C845" s="74" t="s">
        <v>93</v>
      </c>
      <c r="D845" s="74"/>
      <c r="E845" s="74"/>
      <c r="F845" s="74"/>
      <c r="G845" s="74"/>
      <c r="H845" s="76">
        <v>0</v>
      </c>
      <c r="I845" s="76">
        <f>VLOOKUP($C845,'Unit tariffs'!$B$21:$F$123,5,FALSE)*$B845</f>
        <v>0</v>
      </c>
      <c r="J845" s="457" t="e">
        <f>IF(+I845*'Unit tariffs'!#REF!&gt;'Unit tariffs'!#REF!,'Unit tariffs'!#REF!,+I845*'Unit tariffs'!#REF!)</f>
        <v>#REF!</v>
      </c>
    </row>
    <row r="846" spans="1:10" ht="13" x14ac:dyDescent="0.3">
      <c r="A846" s="91"/>
      <c r="B846" s="85">
        <v>0</v>
      </c>
      <c r="C846" s="74" t="s">
        <v>188</v>
      </c>
      <c r="D846" s="74"/>
      <c r="E846" s="74"/>
      <c r="F846" s="74"/>
      <c r="G846" s="74"/>
      <c r="H846" s="81">
        <v>0</v>
      </c>
      <c r="I846" s="81">
        <f>VLOOKUP($C846,'Unit tariffs'!$B$21:$F$123,5,FALSE)*$B846</f>
        <v>0</v>
      </c>
      <c r="J846" s="457" t="e">
        <f>IF(+I846*'Unit tariffs'!#REF!&gt;'Unit tariffs'!#REF!,'Unit tariffs'!#REF!,+I846*'Unit tariffs'!#REF!)</f>
        <v>#REF!</v>
      </c>
    </row>
    <row r="847" spans="1:10" ht="13" x14ac:dyDescent="0.3">
      <c r="A847" s="91"/>
      <c r="B847" s="74"/>
      <c r="C847" s="74"/>
      <c r="D847" s="74"/>
      <c r="E847" s="74"/>
      <c r="F847" s="74"/>
      <c r="G847" s="74"/>
      <c r="H847" s="76">
        <v>8182.408373760687</v>
      </c>
      <c r="I847" s="76">
        <f>SUM(I837:I846)</f>
        <v>282.48325</v>
      </c>
      <c r="J847" s="105"/>
    </row>
    <row r="848" spans="1:10" ht="13" x14ac:dyDescent="0.3">
      <c r="A848" s="91"/>
      <c r="B848" s="74"/>
      <c r="C848" s="74"/>
      <c r="D848" s="74"/>
      <c r="E848" s="74"/>
      <c r="F848" s="74"/>
      <c r="G848" s="76"/>
      <c r="H848" s="74"/>
      <c r="I848" s="74"/>
      <c r="J848" s="105"/>
    </row>
    <row r="849" spans="1:10" ht="13" x14ac:dyDescent="0.3">
      <c r="A849" s="91"/>
      <c r="B849" s="104" t="s">
        <v>42</v>
      </c>
      <c r="C849" s="74"/>
      <c r="D849" s="74"/>
      <c r="E849" s="74"/>
      <c r="F849" s="74"/>
      <c r="G849" s="74"/>
      <c r="H849" s="74"/>
      <c r="I849" s="74"/>
      <c r="J849" s="105"/>
    </row>
    <row r="850" spans="1:10" ht="13" x14ac:dyDescent="0.3">
      <c r="A850" s="91"/>
      <c r="B850" s="74"/>
      <c r="C850" s="74"/>
      <c r="D850" s="74"/>
      <c r="E850" s="74"/>
      <c r="F850" s="74"/>
      <c r="G850" s="74"/>
      <c r="J850" s="105"/>
    </row>
    <row r="851" spans="1:10" ht="13" x14ac:dyDescent="0.3">
      <c r="A851" s="91"/>
      <c r="B851" s="74">
        <v>4</v>
      </c>
      <c r="C851" s="74" t="str">
        <f>'Unit tariffs'!B$87</f>
        <v xml:space="preserve">hour-artisan </v>
      </c>
      <c r="D851" s="74"/>
      <c r="E851" s="74"/>
      <c r="F851" s="74"/>
      <c r="G851" s="74"/>
      <c r="H851" s="76">
        <v>1291.4089269230769</v>
      </c>
      <c r="I851" s="76">
        <f>VLOOKUP($C851,'Unit tariffs'!$B$21:$F$123,5,FALSE)*$B851</f>
        <v>1404.7710646153848</v>
      </c>
      <c r="J851" s="95"/>
    </row>
    <row r="852" spans="1:10" ht="13" x14ac:dyDescent="0.3">
      <c r="A852" s="91"/>
      <c r="B852" s="74">
        <v>8</v>
      </c>
      <c r="C852" s="74" t="str">
        <f>'Unit tariffs'!B$85</f>
        <v>hour-artisan assistant</v>
      </c>
      <c r="D852" s="74"/>
      <c r="E852" s="74"/>
      <c r="F852" s="74"/>
      <c r="G852" s="74"/>
      <c r="H852" s="81">
        <v>1028.2864615384617</v>
      </c>
      <c r="I852" s="81">
        <f>VLOOKUP($C852,'Unit tariffs'!$B$21:$F$123,5,FALSE)*$B852</f>
        <v>1118.5940676923078</v>
      </c>
      <c r="J852" s="95"/>
    </row>
    <row r="853" spans="1:10" ht="13" x14ac:dyDescent="0.3">
      <c r="A853" s="91"/>
      <c r="B853" s="74"/>
      <c r="C853" s="74"/>
      <c r="D853" s="74"/>
      <c r="E853" s="74"/>
      <c r="F853" s="74"/>
      <c r="G853" s="74"/>
      <c r="H853" s="76">
        <v>2319.6953884615386</v>
      </c>
      <c r="I853" s="76">
        <f>SUM(I851:I852)</f>
        <v>2523.3651323076929</v>
      </c>
      <c r="J853" s="105"/>
    </row>
    <row r="854" spans="1:10" ht="13" x14ac:dyDescent="0.3">
      <c r="A854" s="91"/>
      <c r="B854" s="104" t="s">
        <v>43</v>
      </c>
      <c r="C854" s="74"/>
      <c r="D854" s="74"/>
      <c r="E854" s="74"/>
      <c r="F854" s="74"/>
      <c r="G854" s="74"/>
      <c r="H854" s="74"/>
      <c r="I854" s="74"/>
      <c r="J854" s="105"/>
    </row>
    <row r="855" spans="1:10" ht="13" x14ac:dyDescent="0.3">
      <c r="A855" s="91"/>
      <c r="B855" s="74"/>
      <c r="C855" s="74"/>
      <c r="D855" s="74"/>
      <c r="E855" s="74"/>
      <c r="F855" s="74"/>
      <c r="G855" s="74"/>
      <c r="H855" s="74"/>
      <c r="I855" s="74"/>
      <c r="J855" s="105"/>
    </row>
    <row r="856" spans="1:10" ht="13" x14ac:dyDescent="0.3">
      <c r="A856" s="91"/>
      <c r="B856" s="74">
        <v>30</v>
      </c>
      <c r="C856" s="74" t="str">
        <f>'Unit tariffs'!B$111</f>
        <v>km-truck with platform</v>
      </c>
      <c r="D856" s="74"/>
      <c r="E856" s="74"/>
      <c r="F856" s="74"/>
      <c r="G856" s="74"/>
      <c r="H856" s="76">
        <v>1263.6151042727799</v>
      </c>
      <c r="I856" s="76">
        <f>VLOOKUP($C856,'Unit tariffs'!$B$21:$F$123,5,FALSE)*$B856</f>
        <v>1478.4996522648166</v>
      </c>
      <c r="J856" s="105"/>
    </row>
    <row r="857" spans="1:10" ht="13" x14ac:dyDescent="0.3">
      <c r="A857" s="91"/>
      <c r="B857" s="74">
        <v>4</v>
      </c>
      <c r="C857" s="74" t="str">
        <f>'Unit tariffs'!B$112</f>
        <v>hour-truck with platform</v>
      </c>
      <c r="D857" s="74"/>
      <c r="E857" s="74"/>
      <c r="F857" s="74"/>
      <c r="G857" s="74"/>
      <c r="H857" s="76">
        <v>819.93766924669251</v>
      </c>
      <c r="I857" s="76">
        <f>VLOOKUP($C857,'Unit tariffs'!$B$21:$F$123,5,FALSE)*$B857</f>
        <v>959.37248198511679</v>
      </c>
      <c r="J857" s="105"/>
    </row>
    <row r="858" spans="1:10" ht="13.5" thickBot="1" x14ac:dyDescent="0.35">
      <c r="A858" s="91"/>
      <c r="B858" s="74"/>
      <c r="C858" s="74"/>
      <c r="D858" s="74"/>
      <c r="E858" s="74"/>
      <c r="F858" s="74"/>
      <c r="G858" s="74"/>
      <c r="H858" s="107">
        <v>2083.5527735194723</v>
      </c>
      <c r="I858" s="107">
        <f>SUM(I856:I857)</f>
        <v>2437.8721342499334</v>
      </c>
      <c r="J858" s="105"/>
    </row>
    <row r="859" spans="1:10" ht="13.5" thickTop="1" x14ac:dyDescent="0.3">
      <c r="A859" s="91"/>
      <c r="B859" s="74"/>
      <c r="C859" s="74"/>
      <c r="D859" s="74"/>
      <c r="E859" s="74"/>
      <c r="F859" s="74"/>
      <c r="G859" s="76"/>
      <c r="H859" s="76">
        <v>33757.540785741701</v>
      </c>
      <c r="I859" s="76">
        <f>I858+I853+I847+I833</f>
        <v>29166.531202812879</v>
      </c>
      <c r="J859" s="105"/>
    </row>
    <row r="860" spans="1:10" ht="13.5" thickBot="1" x14ac:dyDescent="0.35">
      <c r="A860" s="91"/>
      <c r="B860" s="104" t="str">
        <f>'Unit tariffs'!$B$7</f>
        <v>Administration Levy (Indirect Cost)</v>
      </c>
      <c r="C860" s="74"/>
      <c r="D860" s="106">
        <f>'Unit tariffs'!$C$7</f>
        <v>0.1</v>
      </c>
      <c r="E860" s="74" t="s">
        <v>311</v>
      </c>
      <c r="F860" s="186">
        <f>+'Unit tariffs'!$F$7</f>
        <v>10000</v>
      </c>
      <c r="G860" s="76"/>
      <c r="H860" s="108">
        <v>3375.7540785741703</v>
      </c>
      <c r="I860" s="108">
        <f>IF(I859*$D860&gt;='Unit tariffs'!$E$7,'Unit tariffs'!$E$7,I859*$D860)</f>
        <v>2916.653120281288</v>
      </c>
      <c r="J860" s="110"/>
    </row>
    <row r="861" spans="1:10" ht="13.5" thickTop="1" x14ac:dyDescent="0.3">
      <c r="A861" s="91"/>
      <c r="B861" s="104" t="s">
        <v>44</v>
      </c>
      <c r="C861" s="74"/>
      <c r="D861" s="74"/>
      <c r="E861" s="74"/>
      <c r="F861" s="74"/>
      <c r="G861" s="76"/>
      <c r="H861" s="109">
        <v>37133.294864315874</v>
      </c>
      <c r="I861" s="109">
        <f>SUM(I859:I860)</f>
        <v>32083.184323094167</v>
      </c>
      <c r="J861" s="105"/>
    </row>
    <row r="862" spans="1:10" ht="13" x14ac:dyDescent="0.3">
      <c r="A862" s="91"/>
      <c r="B862" s="104"/>
      <c r="C862" s="74"/>
      <c r="D862" s="74"/>
      <c r="E862" s="74"/>
      <c r="F862" s="74"/>
      <c r="G862" s="76"/>
      <c r="H862" s="76"/>
      <c r="I862" s="76"/>
      <c r="J862" s="113"/>
    </row>
    <row r="863" spans="1:10" ht="13" x14ac:dyDescent="0.3">
      <c r="A863" s="91"/>
      <c r="B863" s="104" t="s">
        <v>45</v>
      </c>
      <c r="C863" s="74"/>
      <c r="D863" s="74"/>
      <c r="E863" s="74"/>
      <c r="F863" s="74"/>
      <c r="G863" s="74"/>
      <c r="H863" s="84">
        <v>37130</v>
      </c>
      <c r="I863" s="84">
        <f>ROUND(I861,-1)</f>
        <v>32080</v>
      </c>
      <c r="J863" s="113"/>
    </row>
    <row r="864" spans="1:10" ht="13" x14ac:dyDescent="0.3">
      <c r="A864" s="91"/>
      <c r="B864" s="74"/>
      <c r="C864" s="74"/>
      <c r="D864" s="74"/>
      <c r="E864" s="74"/>
      <c r="F864" s="74"/>
      <c r="G864" s="74"/>
      <c r="H864" s="76"/>
      <c r="I864" s="76"/>
      <c r="J864" s="113"/>
    </row>
    <row r="865" spans="1:10" ht="13" x14ac:dyDescent="0.3">
      <c r="A865" s="91"/>
      <c r="B865" s="74"/>
      <c r="C865" s="74"/>
      <c r="D865" s="74"/>
      <c r="E865" s="74"/>
      <c r="F865" s="74"/>
      <c r="G865" s="74"/>
      <c r="H865" s="112">
        <v>0</v>
      </c>
      <c r="I865" s="112">
        <f>(I863-H863)/H863</f>
        <v>-0.13600861836789657</v>
      </c>
      <c r="J865" s="113"/>
    </row>
    <row r="866" spans="1:10" ht="13" x14ac:dyDescent="0.3">
      <c r="A866" s="91"/>
      <c r="B866" s="74"/>
      <c r="C866" s="74"/>
      <c r="D866" s="74"/>
      <c r="E866" s="74"/>
      <c r="F866" s="74"/>
      <c r="G866" s="74"/>
      <c r="H866" s="112"/>
      <c r="I866" s="112"/>
      <c r="J866" s="113"/>
    </row>
    <row r="867" spans="1:10" ht="13" x14ac:dyDescent="0.3">
      <c r="A867" s="91"/>
      <c r="B867" s="74"/>
      <c r="C867" s="74"/>
      <c r="D867" s="74"/>
      <c r="E867" s="74"/>
      <c r="F867" s="74"/>
      <c r="G867" s="74"/>
      <c r="H867" s="112"/>
      <c r="I867" s="112"/>
      <c r="J867" s="113"/>
    </row>
    <row r="868" spans="1:10" ht="13" x14ac:dyDescent="0.3">
      <c r="A868" s="91"/>
      <c r="B868" s="74"/>
      <c r="C868" s="74"/>
      <c r="D868" s="74"/>
      <c r="E868" s="74"/>
      <c r="F868" s="74"/>
      <c r="G868" s="74"/>
      <c r="H868" s="112"/>
      <c r="I868" s="112"/>
      <c r="J868" s="113"/>
    </row>
    <row r="869" spans="1:10" ht="13.5" thickBot="1" x14ac:dyDescent="0.35">
      <c r="A869" s="448"/>
      <c r="B869" s="123"/>
      <c r="C869" s="123"/>
      <c r="D869" s="123"/>
      <c r="E869" s="123"/>
      <c r="F869" s="123"/>
      <c r="G869" s="123"/>
      <c r="H869" s="123"/>
      <c r="I869" s="123"/>
      <c r="J869" s="449"/>
    </row>
    <row r="870" spans="1:10" ht="14" thickTop="1" thickBot="1" x14ac:dyDescent="0.35">
      <c r="A870" s="91"/>
      <c r="B870" s="123"/>
      <c r="C870" s="123"/>
      <c r="D870" s="123"/>
      <c r="E870" s="123"/>
      <c r="F870" s="123"/>
      <c r="G870" s="123"/>
      <c r="H870" s="74"/>
      <c r="I870" s="74"/>
      <c r="J870" s="95"/>
    </row>
    <row r="871" spans="1:10" ht="13.5" thickTop="1" x14ac:dyDescent="0.3">
      <c r="A871" s="91"/>
      <c r="B871" s="74"/>
      <c r="C871" s="74"/>
      <c r="D871" s="74"/>
      <c r="E871" s="74"/>
      <c r="F871" s="74"/>
      <c r="G871" s="74"/>
      <c r="H871" s="452"/>
      <c r="I871" s="452"/>
      <c r="J871" s="453"/>
    </row>
    <row r="872" spans="1:10" ht="18" customHeight="1" x14ac:dyDescent="0.3">
      <c r="A872" s="91"/>
      <c r="B872" s="74"/>
      <c r="C872" s="74"/>
      <c r="D872" s="74"/>
      <c r="E872" s="74"/>
      <c r="F872" s="74"/>
      <c r="G872" s="74"/>
      <c r="H872" s="74"/>
      <c r="I872" s="74"/>
      <c r="J872" s="95"/>
    </row>
    <row r="873" spans="1:10" ht="14" x14ac:dyDescent="0.3">
      <c r="A873" s="91"/>
      <c r="B873" s="956" t="s">
        <v>206</v>
      </c>
      <c r="C873" s="957"/>
      <c r="D873" s="957"/>
      <c r="E873" s="957"/>
      <c r="F873" s="957"/>
      <c r="G873" s="958"/>
      <c r="H873" s="74"/>
      <c r="I873" s="74"/>
      <c r="J873" s="95"/>
    </row>
    <row r="874" spans="1:10" ht="14" x14ac:dyDescent="0.3">
      <c r="A874" s="91"/>
      <c r="B874" s="145"/>
      <c r="C874" s="145"/>
      <c r="D874" s="145"/>
      <c r="E874" s="145"/>
      <c r="F874" s="145"/>
      <c r="G874" s="145"/>
      <c r="H874" s="74"/>
      <c r="I874" s="74"/>
      <c r="J874" s="95"/>
    </row>
    <row r="875" spans="1:10" ht="42.75" customHeight="1" x14ac:dyDescent="0.3">
      <c r="A875" s="91"/>
      <c r="B875" s="931" t="s">
        <v>524</v>
      </c>
      <c r="C875" s="932"/>
      <c r="D875" s="932"/>
      <c r="E875" s="932"/>
      <c r="F875" s="932"/>
      <c r="G875" s="933"/>
      <c r="H875" s="131" t="s">
        <v>242</v>
      </c>
      <c r="I875" s="131" t="s">
        <v>242</v>
      </c>
      <c r="J875" s="95"/>
    </row>
    <row r="876" spans="1:10" ht="16.5" customHeight="1" x14ac:dyDescent="0.3">
      <c r="A876" s="91"/>
      <c r="H876" s="103" t="str">
        <f>+'Unit tariffs'!$F$11</f>
        <v>2026/2027</v>
      </c>
      <c r="I876" s="103" t="str">
        <f>+'Unit tariffs'!$F$11</f>
        <v>2026/2027</v>
      </c>
      <c r="J876" s="444" t="s">
        <v>313</v>
      </c>
    </row>
    <row r="877" spans="1:10" ht="13" x14ac:dyDescent="0.3">
      <c r="A877" s="91"/>
      <c r="C877" s="74"/>
      <c r="D877" s="74"/>
      <c r="E877" s="74"/>
      <c r="F877" s="74"/>
      <c r="G877" s="74"/>
      <c r="H877" s="74"/>
      <c r="I877" s="74"/>
      <c r="J877" s="95"/>
    </row>
    <row r="878" spans="1:10" ht="13" x14ac:dyDescent="0.3">
      <c r="A878" s="91"/>
      <c r="B878" s="104" t="s">
        <v>117</v>
      </c>
      <c r="C878" s="74"/>
      <c r="D878" s="74"/>
      <c r="E878" s="74"/>
      <c r="F878" s="74"/>
      <c r="G878" s="74"/>
      <c r="H878" s="74"/>
      <c r="I878" s="74"/>
      <c r="J878" s="95"/>
    </row>
    <row r="879" spans="1:10" ht="13" x14ac:dyDescent="0.3">
      <c r="A879" s="91"/>
      <c r="B879" s="74" t="s">
        <v>118</v>
      </c>
      <c r="C879" s="74"/>
      <c r="D879" s="74"/>
      <c r="E879" s="74"/>
      <c r="F879" s="74"/>
      <c r="G879" s="74"/>
      <c r="H879" s="74"/>
      <c r="I879" s="74"/>
      <c r="J879" s="95"/>
    </row>
    <row r="880" spans="1:10" ht="13" x14ac:dyDescent="0.3">
      <c r="A880" s="91"/>
      <c r="B880" s="74">
        <v>5</v>
      </c>
      <c r="C880" s="74" t="str">
        <f>'Unit tariffs'!B137</f>
        <v>Primary Backbone - Peri Urban</v>
      </c>
      <c r="D880" s="74"/>
      <c r="E880" s="74"/>
      <c r="F880" s="74" t="str">
        <f>'Unit tariffs'!C$131</f>
        <v>per kVA</v>
      </c>
      <c r="G880" s="74"/>
      <c r="H880" s="76">
        <v>6352.1370000000015</v>
      </c>
      <c r="I880" s="76">
        <f>VLOOKUP($C880,'Unit tariffs'!$B$21:$F$155,5,FALSE)*$B880</f>
        <v>7177.4892168210008</v>
      </c>
      <c r="J880" s="95"/>
    </row>
    <row r="881" spans="1:10" ht="13" x14ac:dyDescent="0.3">
      <c r="A881" s="91"/>
      <c r="B881" s="74">
        <v>5</v>
      </c>
      <c r="C881" s="74" t="str">
        <f>'Unit tariffs'!B138</f>
        <v>Secondary Backbone - MV Peri Urban</v>
      </c>
      <c r="D881" s="74"/>
      <c r="E881" s="74"/>
      <c r="F881" s="74" t="str">
        <f>'Unit tariffs'!C$132</f>
        <v>per kVA</v>
      </c>
      <c r="G881" s="74"/>
      <c r="H881" s="76">
        <v>5345.4775000000009</v>
      </c>
      <c r="I881" s="76">
        <f>VLOOKUP($C881,'Unit tariffs'!$B$21:$F$155,5,FALSE)*$B881</f>
        <v>6040.0314280074999</v>
      </c>
      <c r="J881" s="95"/>
    </row>
    <row r="882" spans="1:10" ht="13" x14ac:dyDescent="0.3">
      <c r="A882" s="91"/>
      <c r="B882" s="74">
        <v>5</v>
      </c>
      <c r="C882" s="74" t="str">
        <f>'Unit tariffs'!B139</f>
        <v>Secondary Backbone - LV Peri Urban</v>
      </c>
      <c r="D882" s="74"/>
      <c r="E882" s="74"/>
      <c r="F882" s="74" t="str">
        <f>'Unit tariffs'!C$133</f>
        <v>per kVA</v>
      </c>
      <c r="G882" s="74"/>
      <c r="H882" s="81">
        <v>8769.1120000000028</v>
      </c>
      <c r="I882" s="81">
        <f>VLOOKUP($C882,'Unit tariffs'!$B$21:$F$155,5,FALSE)*$B882</f>
        <v>9908.5090294960009</v>
      </c>
      <c r="J882" s="95"/>
    </row>
    <row r="883" spans="1:10" ht="13" x14ac:dyDescent="0.3">
      <c r="A883" s="91"/>
      <c r="B883" s="74"/>
      <c r="C883" s="74"/>
      <c r="D883" s="74"/>
      <c r="E883" s="74"/>
      <c r="F883" s="74"/>
      <c r="G883" s="74"/>
      <c r="H883" s="202">
        <v>20466.726500000004</v>
      </c>
      <c r="I883" s="202">
        <f>SUM(I880:I882)</f>
        <v>23126.029674324502</v>
      </c>
      <c r="J883" s="95"/>
    </row>
    <row r="884" spans="1:10" ht="13" x14ac:dyDescent="0.3">
      <c r="A884" s="91"/>
      <c r="B884" s="74"/>
      <c r="C884" s="74"/>
      <c r="D884" s="74"/>
      <c r="E884" s="74"/>
      <c r="F884" s="74"/>
      <c r="G884" s="74"/>
      <c r="H884" s="76"/>
      <c r="I884" s="76"/>
      <c r="J884" s="105"/>
    </row>
    <row r="885" spans="1:10" ht="13" x14ac:dyDescent="0.3">
      <c r="A885" s="91"/>
      <c r="B885" s="104" t="s">
        <v>41</v>
      </c>
      <c r="C885" s="74"/>
      <c r="D885" s="74"/>
      <c r="E885" s="74"/>
      <c r="F885" s="74"/>
      <c r="G885" s="74"/>
      <c r="H885" s="76"/>
      <c r="I885" s="76"/>
      <c r="J885" s="105"/>
    </row>
    <row r="886" spans="1:10" ht="13" x14ac:dyDescent="0.3">
      <c r="A886" s="91"/>
      <c r="B886" s="74">
        <v>1</v>
      </c>
      <c r="C886" s="74" t="str">
        <f>+'Unit tariffs'!B33</f>
        <v>Prepaid meter (Normal BEC) 1phase</v>
      </c>
      <c r="D886" s="74"/>
      <c r="E886" s="74"/>
      <c r="F886" s="74"/>
      <c r="G886" s="74"/>
      <c r="H886" s="76">
        <v>1167.1963000000001</v>
      </c>
      <c r="I886" s="76">
        <f>VLOOKUP($C886,'Unit tariffs'!$B$21:$F$123,5,FALSE)*$B886</f>
        <v>1214.6779749999998</v>
      </c>
      <c r="J886" s="457" t="e">
        <f>IF(+I886*'Unit tariffs'!#REF!&gt;'Unit tariffs'!#REF!,'Unit tariffs'!#REF!,+I886*'Unit tariffs'!#REF!)</f>
        <v>#REF!</v>
      </c>
    </row>
    <row r="887" spans="1:10" ht="13" x14ac:dyDescent="0.3">
      <c r="A887" s="91"/>
      <c r="B887" s="74">
        <v>1</v>
      </c>
      <c r="C887" s="74" t="str">
        <f>+'Unit tariffs'!B43</f>
        <v>x 80 A circuit breaker (5kA) - Orange</v>
      </c>
      <c r="D887" s="74"/>
      <c r="E887" s="74"/>
      <c r="F887" s="74"/>
      <c r="G887" s="74"/>
      <c r="H887" s="76">
        <v>195.804552748324</v>
      </c>
      <c r="I887" s="76">
        <f>VLOOKUP($C887,'Unit tariffs'!$B$21:$F$123,5,FALSE)*$B887</f>
        <v>0</v>
      </c>
      <c r="J887" s="457" t="e">
        <f>IF(+I887*'Unit tariffs'!#REF!&gt;'Unit tariffs'!#REF!,'Unit tariffs'!#REF!,+I887*'Unit tariffs'!#REF!)</f>
        <v>#REF!</v>
      </c>
    </row>
    <row r="888" spans="1:10" ht="13" x14ac:dyDescent="0.3">
      <c r="A888" s="91"/>
      <c r="B888" s="74">
        <v>1</v>
      </c>
      <c r="C888" s="74" t="str">
        <f>+'Unit tariffs'!B21</f>
        <v>Installation material</v>
      </c>
      <c r="D888" s="74"/>
      <c r="E888" s="74"/>
      <c r="F888" s="74"/>
      <c r="G888" s="74"/>
      <c r="H888" s="81">
        <v>271.44100000000003</v>
      </c>
      <c r="I888" s="81">
        <f>VLOOKUP($C888,'Unit tariffs'!$B$21:$F$123,5,FALSE)*$B888</f>
        <v>282.48325</v>
      </c>
      <c r="J888" s="457" t="e">
        <f>IF(+I888*'Unit tariffs'!#REF!&gt;'Unit tariffs'!#REF!,'Unit tariffs'!#REF!,+I888*'Unit tariffs'!#REF!)</f>
        <v>#REF!</v>
      </c>
    </row>
    <row r="889" spans="1:10" ht="13" x14ac:dyDescent="0.3">
      <c r="A889" s="91"/>
      <c r="B889" s="74"/>
      <c r="C889" s="74"/>
      <c r="D889" s="74"/>
      <c r="E889" s="74"/>
      <c r="F889" s="74"/>
      <c r="G889" s="74"/>
      <c r="H889" s="76">
        <v>1634.4418527483242</v>
      </c>
      <c r="I889" s="76">
        <f>SUM(I886:I888)</f>
        <v>1497.1612249999998</v>
      </c>
      <c r="J889" s="105"/>
    </row>
    <row r="890" spans="1:10" ht="13" x14ac:dyDescent="0.3">
      <c r="A890" s="91"/>
      <c r="B890" s="104" t="s">
        <v>42</v>
      </c>
      <c r="C890" s="74"/>
      <c r="D890" s="74"/>
      <c r="E890" s="74"/>
      <c r="F890" s="74"/>
      <c r="G890" s="74"/>
      <c r="H890" s="74"/>
      <c r="I890" s="74"/>
      <c r="J890" s="95"/>
    </row>
    <row r="891" spans="1:10" ht="13" x14ac:dyDescent="0.3">
      <c r="A891" s="91"/>
      <c r="B891" s="74"/>
      <c r="C891" s="74"/>
      <c r="D891" s="74"/>
      <c r="E891" s="74"/>
      <c r="F891" s="74"/>
      <c r="G891" s="74"/>
      <c r="H891" s="74"/>
      <c r="I891" s="74"/>
      <c r="J891" s="95"/>
    </row>
    <row r="892" spans="1:10" ht="13" x14ac:dyDescent="0.3">
      <c r="A892" s="91"/>
      <c r="B892" s="74">
        <v>1</v>
      </c>
      <c r="C892" s="74" t="str">
        <f>'Unit tariffs'!B87</f>
        <v xml:space="preserve">hour-artisan </v>
      </c>
      <c r="D892" s="74"/>
      <c r="E892" s="74"/>
      <c r="F892" s="74"/>
      <c r="G892" s="74"/>
      <c r="H892" s="76">
        <v>322.85223173076923</v>
      </c>
      <c r="I892" s="76">
        <f>VLOOKUP($C892,'Unit tariffs'!$B$21:$F$123,5,FALSE)*$B892</f>
        <v>351.19276615384621</v>
      </c>
      <c r="J892" s="105"/>
    </row>
    <row r="893" spans="1:10" ht="13" x14ac:dyDescent="0.3">
      <c r="A893" s="91"/>
      <c r="B893" s="74">
        <v>2</v>
      </c>
      <c r="C893" s="74" t="str">
        <f>'Unit tariffs'!B$85</f>
        <v>hour-artisan assistant</v>
      </c>
      <c r="D893" s="74"/>
      <c r="E893" s="74"/>
      <c r="F893" s="74"/>
      <c r="G893" s="74"/>
      <c r="H893" s="81">
        <v>257.07161538461543</v>
      </c>
      <c r="I893" s="81">
        <f>VLOOKUP($C893,'Unit tariffs'!$B$21:$F$123,5,FALSE)*$B893</f>
        <v>279.64851692307695</v>
      </c>
      <c r="J893" s="105"/>
    </row>
    <row r="894" spans="1:10" ht="13" x14ac:dyDescent="0.3">
      <c r="A894" s="91"/>
      <c r="B894" s="74"/>
      <c r="C894" s="74"/>
      <c r="D894" s="74"/>
      <c r="E894" s="74"/>
      <c r="F894" s="74"/>
      <c r="G894" s="74"/>
      <c r="H894" s="76">
        <v>579.92384711538466</v>
      </c>
      <c r="I894" s="76">
        <f>SUM(I892:I893)</f>
        <v>630.84128307692322</v>
      </c>
      <c r="J894" s="105"/>
    </row>
    <row r="895" spans="1:10" ht="13" x14ac:dyDescent="0.3">
      <c r="A895" s="91"/>
      <c r="B895" s="104" t="s">
        <v>43</v>
      </c>
      <c r="C895" s="74"/>
      <c r="D895" s="74"/>
      <c r="E895" s="74"/>
      <c r="F895" s="74"/>
      <c r="G895" s="74"/>
      <c r="H895" s="74"/>
      <c r="I895" s="74"/>
      <c r="J895" s="95"/>
    </row>
    <row r="896" spans="1:10" ht="13" x14ac:dyDescent="0.3">
      <c r="A896" s="91"/>
      <c r="B896" s="74"/>
      <c r="C896" s="74"/>
      <c r="D896" s="74"/>
      <c r="E896" s="74"/>
      <c r="F896" s="74"/>
      <c r="G896" s="74"/>
      <c r="H896" s="74"/>
      <c r="I896" s="74"/>
      <c r="J896" s="95"/>
    </row>
    <row r="897" spans="1:10" ht="13" x14ac:dyDescent="0.3">
      <c r="A897" s="91"/>
      <c r="B897" s="74">
        <v>30</v>
      </c>
      <c r="C897" s="74" t="str">
        <f>'Unit tariffs'!B$111</f>
        <v>km-truck with platform</v>
      </c>
      <c r="D897" s="74"/>
      <c r="E897" s="74"/>
      <c r="F897" s="74"/>
      <c r="G897" s="74"/>
      <c r="H897" s="202">
        <v>1263.6151042727799</v>
      </c>
      <c r="I897" s="202">
        <f>VLOOKUP($C897,'Unit tariffs'!$B$21:$F$123,5,FALSE)*$B897</f>
        <v>1478.4996522648166</v>
      </c>
      <c r="J897" s="105"/>
    </row>
    <row r="898" spans="1:10" ht="13" x14ac:dyDescent="0.3">
      <c r="A898" s="91"/>
      <c r="B898" s="74">
        <v>1</v>
      </c>
      <c r="C898" s="74" t="str">
        <f>'Unit tariffs'!B$112</f>
        <v>hour-truck with platform</v>
      </c>
      <c r="D898" s="74"/>
      <c r="E898" s="74"/>
      <c r="F898" s="74"/>
      <c r="G898" s="74"/>
      <c r="H898" s="81">
        <v>204.98441731167313</v>
      </c>
      <c r="I898" s="81">
        <f>VLOOKUP($C898,'Unit tariffs'!$B$21:$F$123,5,FALSE)*$B898</f>
        <v>239.8431204962792</v>
      </c>
      <c r="J898" s="105"/>
    </row>
    <row r="899" spans="1:10" ht="13.5" thickBot="1" x14ac:dyDescent="0.35">
      <c r="A899" s="91"/>
      <c r="B899" s="74"/>
      <c r="C899" s="74"/>
      <c r="D899" s="74"/>
      <c r="E899" s="74"/>
      <c r="F899" s="74"/>
      <c r="G899" s="74"/>
      <c r="H899" s="107">
        <v>1468.599521584453</v>
      </c>
      <c r="I899" s="107">
        <f>SUM(I897:I898)</f>
        <v>1718.3427727610958</v>
      </c>
      <c r="J899" s="105"/>
    </row>
    <row r="900" spans="1:10" ht="13.5" thickTop="1" x14ac:dyDescent="0.3">
      <c r="A900" s="91"/>
      <c r="B900" s="74"/>
      <c r="C900" s="74"/>
      <c r="D900" s="74"/>
      <c r="E900" s="74"/>
      <c r="F900" s="74"/>
      <c r="G900" s="74"/>
      <c r="H900" s="76">
        <v>24149.691721448165</v>
      </c>
      <c r="I900" s="76">
        <f>+I899+I894+I889+I883</f>
        <v>26972.374955162522</v>
      </c>
      <c r="J900" s="105"/>
    </row>
    <row r="901" spans="1:10" ht="13.5" thickBot="1" x14ac:dyDescent="0.35">
      <c r="A901" s="91"/>
      <c r="B901" s="104" t="str">
        <f>'Unit tariffs'!$B$7</f>
        <v>Administration Levy (Indirect Cost)</v>
      </c>
      <c r="C901" s="74"/>
      <c r="D901" s="106">
        <f>'Unit tariffs'!$C$7</f>
        <v>0.1</v>
      </c>
      <c r="E901" s="74" t="s">
        <v>311</v>
      </c>
      <c r="F901" s="186">
        <f>+'Unit tariffs'!$F$7</f>
        <v>10000</v>
      </c>
      <c r="G901" s="74"/>
      <c r="H901" s="108">
        <v>2414.9691721448166</v>
      </c>
      <c r="I901" s="108">
        <f>IF(I900*$D901&gt;='Unit tariffs'!$E$7,'Unit tariffs'!$E$7,I900*$D901)</f>
        <v>2697.2374955162522</v>
      </c>
      <c r="J901" s="105"/>
    </row>
    <row r="902" spans="1:10" ht="13.5" thickTop="1" x14ac:dyDescent="0.3">
      <c r="A902" s="91"/>
      <c r="B902" s="104" t="s">
        <v>44</v>
      </c>
      <c r="C902" s="74"/>
      <c r="D902" s="74"/>
      <c r="E902" s="74"/>
      <c r="F902" s="74"/>
      <c r="G902" s="74"/>
      <c r="H902" s="109">
        <v>26564.660893592983</v>
      </c>
      <c r="I902" s="109">
        <f>SUM(I900:I901)</f>
        <v>29669.612450678775</v>
      </c>
      <c r="J902" s="105"/>
    </row>
    <row r="903" spans="1:10" ht="13" x14ac:dyDescent="0.3">
      <c r="A903" s="91"/>
      <c r="B903" s="74"/>
      <c r="C903" s="74"/>
      <c r="D903" s="74"/>
      <c r="E903" s="74"/>
      <c r="F903" s="74"/>
      <c r="G903" s="74"/>
      <c r="H903" s="74"/>
      <c r="I903" s="74"/>
      <c r="J903" s="95"/>
    </row>
    <row r="904" spans="1:10" ht="13" x14ac:dyDescent="0.3">
      <c r="A904" s="91"/>
      <c r="B904" s="104" t="s">
        <v>45</v>
      </c>
      <c r="C904" s="74"/>
      <c r="D904" s="74"/>
      <c r="E904" s="74"/>
      <c r="F904" s="74"/>
      <c r="G904" s="74"/>
      <c r="H904" s="84">
        <v>26560</v>
      </c>
      <c r="I904" s="84">
        <f>ROUND(I902,-1)</f>
        <v>29670</v>
      </c>
      <c r="J904" s="110"/>
    </row>
    <row r="905" spans="1:10" ht="13" x14ac:dyDescent="0.3">
      <c r="A905" s="91"/>
      <c r="B905" s="74"/>
      <c r="C905" s="74"/>
      <c r="D905" s="74"/>
      <c r="E905" s="74"/>
      <c r="F905" s="74"/>
      <c r="G905" s="74"/>
      <c r="H905" s="76"/>
      <c r="I905" s="76"/>
      <c r="J905" s="105"/>
    </row>
    <row r="906" spans="1:10" ht="15" customHeight="1" x14ac:dyDescent="0.3">
      <c r="A906" s="91"/>
      <c r="B906" s="74"/>
      <c r="C906" s="74"/>
      <c r="D906" s="74"/>
      <c r="E906" s="74"/>
      <c r="F906" s="74"/>
      <c r="G906" s="74"/>
      <c r="H906" s="112">
        <v>0</v>
      </c>
      <c r="I906" s="112">
        <f>(I904-H904)/H904</f>
        <v>0.1170933734939759</v>
      </c>
      <c r="J906" s="113"/>
    </row>
    <row r="907" spans="1:10" ht="15" customHeight="1" x14ac:dyDescent="0.3">
      <c r="A907" s="91"/>
      <c r="B907" s="74"/>
      <c r="C907" s="74"/>
      <c r="D907" s="74"/>
      <c r="E907" s="74"/>
      <c r="F907" s="74"/>
      <c r="G907" s="74"/>
      <c r="H907" s="112"/>
      <c r="I907" s="112"/>
      <c r="J907" s="113"/>
    </row>
    <row r="908" spans="1:10" ht="13" x14ac:dyDescent="0.3">
      <c r="A908" s="91"/>
      <c r="B908" s="74"/>
      <c r="C908" s="74"/>
      <c r="D908" s="74"/>
      <c r="E908" s="74"/>
      <c r="F908" s="74"/>
      <c r="G908" s="74"/>
      <c r="H908" s="112"/>
      <c r="I908" s="112"/>
      <c r="J908" s="113"/>
    </row>
    <row r="909" spans="1:10" ht="39" customHeight="1" x14ac:dyDescent="0.3">
      <c r="A909" s="91"/>
      <c r="B909" s="934" t="s">
        <v>525</v>
      </c>
      <c r="C909" s="935"/>
      <c r="D909" s="935"/>
      <c r="E909" s="935"/>
      <c r="F909" s="935"/>
      <c r="G909" s="936"/>
      <c r="H909" s="74"/>
      <c r="I909" s="74"/>
      <c r="J909" s="95"/>
    </row>
    <row r="910" spans="1:10" ht="28.5" customHeight="1" x14ac:dyDescent="0.3">
      <c r="A910" s="458"/>
      <c r="B910" s="74"/>
      <c r="C910" s="74"/>
      <c r="D910" s="74"/>
      <c r="E910" s="74"/>
      <c r="F910" s="74"/>
      <c r="G910" s="74"/>
      <c r="H910" s="103" t="str">
        <f>+'Unit tariffs'!$F$11</f>
        <v>2026/2027</v>
      </c>
      <c r="I910" s="103" t="str">
        <f>+'Unit tariffs'!$F$11</f>
        <v>2026/2027</v>
      </c>
      <c r="J910" s="450"/>
    </row>
    <row r="911" spans="1:10" ht="13" x14ac:dyDescent="0.3">
      <c r="A911" s="458"/>
      <c r="B911" s="74"/>
      <c r="C911" s="74"/>
      <c r="D911" s="74"/>
      <c r="E911" s="74"/>
      <c r="F911" s="74"/>
      <c r="G911" s="74"/>
      <c r="H911" s="103"/>
      <c r="I911" s="103"/>
      <c r="J911" s="450"/>
    </row>
    <row r="912" spans="1:10" ht="51" customHeight="1" x14ac:dyDescent="0.3">
      <c r="A912" s="91"/>
      <c r="B912" s="104"/>
      <c r="C912" s="74"/>
      <c r="D912" s="74"/>
      <c r="E912" s="74"/>
      <c r="F912" s="74"/>
      <c r="G912" s="74"/>
      <c r="H912" s="131" t="s">
        <v>458</v>
      </c>
      <c r="I912" s="131" t="s">
        <v>458</v>
      </c>
      <c r="J912" s="95"/>
    </row>
    <row r="913" spans="1:10" ht="13" x14ac:dyDescent="0.3">
      <c r="A913" s="91"/>
      <c r="B913" s="74"/>
      <c r="C913" s="74"/>
      <c r="D913" s="74"/>
      <c r="E913" s="74"/>
      <c r="F913" s="74"/>
      <c r="G913" s="74"/>
      <c r="H913" s="112"/>
      <c r="I913" s="112"/>
      <c r="J913" s="113"/>
    </row>
    <row r="914" spans="1:10" ht="13" x14ac:dyDescent="0.3">
      <c r="A914" s="91"/>
      <c r="B914" s="74" t="s">
        <v>1</v>
      </c>
      <c r="C914" s="74"/>
      <c r="D914" s="74"/>
      <c r="E914" s="74"/>
      <c r="F914" s="74"/>
      <c r="G914" s="74"/>
      <c r="H914" s="74"/>
      <c r="I914" s="74"/>
      <c r="J914" s="95"/>
    </row>
    <row r="915" spans="1:10" ht="22.5" customHeight="1" x14ac:dyDescent="0.3">
      <c r="A915" s="91"/>
      <c r="B915" s="931" t="s">
        <v>526</v>
      </c>
      <c r="C915" s="932"/>
      <c r="D915" s="932"/>
      <c r="E915" s="932"/>
      <c r="F915" s="932"/>
      <c r="G915" s="933"/>
      <c r="H915" s="74"/>
      <c r="I915" s="74"/>
      <c r="J915" s="95"/>
    </row>
    <row r="916" spans="1:10" ht="12.75" customHeight="1" x14ac:dyDescent="0.3">
      <c r="A916" s="91"/>
      <c r="B916" s="74"/>
      <c r="C916" s="74"/>
      <c r="D916" s="74"/>
      <c r="E916" s="74"/>
      <c r="F916" s="74"/>
      <c r="G916" s="74"/>
      <c r="H916" s="74"/>
      <c r="I916" s="74"/>
      <c r="J916" s="95"/>
    </row>
    <row r="917" spans="1:10" ht="13" x14ac:dyDescent="0.3">
      <c r="A917" s="91"/>
      <c r="B917" s="74"/>
      <c r="C917" s="74"/>
      <c r="D917" s="74"/>
      <c r="E917" s="74"/>
      <c r="F917" s="74"/>
      <c r="G917" s="74"/>
      <c r="H917" s="74"/>
      <c r="I917" s="74"/>
      <c r="J917" s="95"/>
    </row>
    <row r="918" spans="1:10" ht="13" x14ac:dyDescent="0.3">
      <c r="A918" s="91"/>
      <c r="B918" s="74"/>
      <c r="C918" s="74"/>
      <c r="D918" s="74"/>
      <c r="E918" s="74"/>
      <c r="F918" s="74"/>
      <c r="G918" s="74"/>
      <c r="H918" s="103" t="str">
        <f>+'Unit tariffs'!$F$11</f>
        <v>2026/2027</v>
      </c>
      <c r="I918" s="103" t="str">
        <f>+'Unit tariffs'!$F$11</f>
        <v>2026/2027</v>
      </c>
      <c r="J918" s="450"/>
    </row>
    <row r="919" spans="1:10" ht="13" x14ac:dyDescent="0.3">
      <c r="A919" s="91"/>
      <c r="B919" s="104" t="s">
        <v>58</v>
      </c>
      <c r="C919" s="74"/>
      <c r="D919" s="74"/>
      <c r="E919" s="74"/>
      <c r="F919" s="74"/>
      <c r="G919" s="74"/>
      <c r="H919" s="74"/>
      <c r="I919" s="74"/>
      <c r="J919" s="95"/>
    </row>
    <row r="920" spans="1:10" ht="58.25" customHeight="1" x14ac:dyDescent="0.3">
      <c r="A920" s="91"/>
      <c r="B920" s="930" t="s">
        <v>528</v>
      </c>
      <c r="C920" s="930"/>
      <c r="D920" s="74"/>
      <c r="E920" s="74"/>
      <c r="F920" s="74"/>
      <c r="G920" s="74"/>
      <c r="H920" s="76"/>
      <c r="I920" s="76"/>
      <c r="J920" s="105"/>
    </row>
    <row r="921" spans="1:10" ht="13" x14ac:dyDescent="0.3">
      <c r="A921" s="91"/>
      <c r="B921" s="74"/>
      <c r="C921" s="74"/>
      <c r="D921" s="74"/>
      <c r="E921" s="74"/>
      <c r="F921" s="74"/>
      <c r="G921" s="74"/>
      <c r="H921" s="76"/>
      <c r="I921" s="76"/>
      <c r="J921" s="105"/>
    </row>
    <row r="922" spans="1:10" ht="13" x14ac:dyDescent="0.3">
      <c r="A922" s="91"/>
      <c r="B922" s="74"/>
      <c r="C922" s="74"/>
      <c r="D922" s="74"/>
      <c r="E922" s="74"/>
      <c r="F922" s="74"/>
      <c r="G922" s="74"/>
      <c r="H922" s="76"/>
      <c r="I922" s="76"/>
      <c r="J922" s="105"/>
    </row>
    <row r="923" spans="1:10" ht="13" x14ac:dyDescent="0.3">
      <c r="A923" s="91"/>
      <c r="B923" s="104" t="s">
        <v>527</v>
      </c>
      <c r="C923" s="74"/>
      <c r="D923" s="74"/>
      <c r="E923" s="132" t="s">
        <v>439</v>
      </c>
      <c r="F923" s="132" t="s">
        <v>440</v>
      </c>
      <c r="G923" s="74"/>
      <c r="H923" s="76"/>
      <c r="I923" s="76"/>
      <c r="J923" s="105"/>
    </row>
    <row r="924" spans="1:10" ht="13" x14ac:dyDescent="0.3">
      <c r="A924" s="91"/>
      <c r="B924" s="74" t="s">
        <v>127</v>
      </c>
      <c r="C924" s="74"/>
      <c r="D924" s="74"/>
      <c r="E924" s="640">
        <f>0.15*12*30</f>
        <v>53.999999999999993</v>
      </c>
      <c r="F924" s="641">
        <f>+'Unit tariffs'!F165</f>
        <v>2.0536539478</v>
      </c>
      <c r="G924" s="74"/>
      <c r="H924" s="76">
        <v>110.89731318119999</v>
      </c>
      <c r="I924" s="76">
        <f>+F924*E924</f>
        <v>110.89731318119999</v>
      </c>
      <c r="J924" s="105"/>
    </row>
    <row r="925" spans="1:10" ht="13" x14ac:dyDescent="0.3">
      <c r="A925" s="91"/>
      <c r="B925" s="104"/>
      <c r="C925" s="74"/>
      <c r="D925" s="74"/>
      <c r="E925" s="74"/>
      <c r="F925" s="74"/>
      <c r="G925" s="74"/>
      <c r="H925" s="76"/>
      <c r="I925" s="76"/>
      <c r="J925" s="105"/>
    </row>
    <row r="926" spans="1:10" ht="13" x14ac:dyDescent="0.3">
      <c r="A926" s="91"/>
      <c r="B926" s="104" t="s">
        <v>45</v>
      </c>
      <c r="C926" s="74"/>
      <c r="D926" s="74"/>
      <c r="E926" s="74"/>
      <c r="F926" s="74"/>
      <c r="G926" s="74"/>
      <c r="H926" s="84">
        <v>111</v>
      </c>
      <c r="I926" s="84">
        <f>ROUND(I924,0)</f>
        <v>111</v>
      </c>
      <c r="J926" s="110"/>
    </row>
    <row r="927" spans="1:10" ht="13" x14ac:dyDescent="0.3">
      <c r="A927" s="91"/>
      <c r="B927" s="104"/>
      <c r="C927" s="74"/>
      <c r="D927" s="74"/>
      <c r="E927" s="74"/>
      <c r="F927" s="74"/>
      <c r="G927" s="74"/>
      <c r="H927" s="84"/>
      <c r="I927" s="84"/>
      <c r="J927" s="110"/>
    </row>
    <row r="928" spans="1:10" ht="13" x14ac:dyDescent="0.3">
      <c r="A928" s="91"/>
      <c r="B928" s="104"/>
      <c r="C928" s="74"/>
      <c r="D928" s="74"/>
      <c r="E928" s="74"/>
      <c r="F928" s="74"/>
      <c r="G928" s="74"/>
      <c r="H928" s="112" t="e">
        <v>#DIV/0!</v>
      </c>
      <c r="I928" s="112">
        <f>(I926-H926)/H926</f>
        <v>0</v>
      </c>
      <c r="J928" s="113"/>
    </row>
    <row r="929" spans="1:12" ht="13.5" thickBot="1" x14ac:dyDescent="0.35">
      <c r="A929" s="448"/>
      <c r="B929" s="123"/>
      <c r="C929" s="123"/>
      <c r="D929" s="123"/>
      <c r="E929" s="123"/>
      <c r="F929" s="123"/>
      <c r="G929" s="123"/>
      <c r="H929" s="74"/>
      <c r="I929" s="74"/>
      <c r="J929" s="95"/>
    </row>
    <row r="930" spans="1:12" ht="13.5" thickTop="1" x14ac:dyDescent="0.3">
      <c r="A930" s="91"/>
      <c r="B930" s="74"/>
      <c r="C930" s="74"/>
      <c r="D930" s="74"/>
      <c r="E930" s="74"/>
      <c r="F930" s="74"/>
      <c r="G930" s="74"/>
      <c r="H930" s="120"/>
      <c r="I930" s="120"/>
      <c r="J930" s="446"/>
    </row>
    <row r="931" spans="1:12" ht="13.5" thickBot="1" x14ac:dyDescent="0.35">
      <c r="A931" s="448"/>
      <c r="B931" s="123"/>
      <c r="C931" s="123"/>
      <c r="D931" s="123"/>
      <c r="E931" s="123"/>
      <c r="F931" s="123"/>
      <c r="G931" s="123"/>
      <c r="H931" s="123"/>
      <c r="I931" s="123"/>
      <c r="J931" s="449"/>
    </row>
    <row r="932" spans="1:12" ht="13.5" thickTop="1" x14ac:dyDescent="0.3">
      <c r="A932" s="91"/>
      <c r="B932" s="74"/>
      <c r="C932" s="74"/>
      <c r="D932" s="74"/>
      <c r="E932" s="74"/>
      <c r="F932" s="74"/>
      <c r="G932" s="74"/>
      <c r="H932" s="74"/>
      <c r="I932" s="74"/>
      <c r="J932" s="95"/>
      <c r="L932" s="146"/>
    </row>
    <row r="933" spans="1:12" ht="13" x14ac:dyDescent="0.3">
      <c r="A933" s="91"/>
      <c r="B933" s="74" t="s">
        <v>1</v>
      </c>
      <c r="C933" s="74"/>
      <c r="D933" s="74"/>
      <c r="E933" s="74"/>
      <c r="F933" s="74"/>
      <c r="G933" s="74"/>
      <c r="H933" s="74"/>
      <c r="I933" s="74"/>
      <c r="J933" s="95"/>
    </row>
    <row r="934" spans="1:12" ht="20.25" customHeight="1" x14ac:dyDescent="0.3">
      <c r="A934" s="91"/>
      <c r="B934" s="931" t="s">
        <v>529</v>
      </c>
      <c r="C934" s="932"/>
      <c r="D934" s="932"/>
      <c r="E934" s="932"/>
      <c r="F934" s="932"/>
      <c r="G934" s="933"/>
      <c r="H934" s="74"/>
      <c r="I934" s="74"/>
      <c r="J934" s="95"/>
    </row>
    <row r="935" spans="1:12" ht="21.75" customHeight="1" x14ac:dyDescent="0.3">
      <c r="A935" s="91"/>
      <c r="B935" s="74"/>
      <c r="C935" s="74"/>
      <c r="D935" s="74"/>
      <c r="E935" s="74"/>
      <c r="F935" s="74"/>
      <c r="G935" s="74"/>
      <c r="H935" s="74"/>
      <c r="I935" s="74"/>
      <c r="J935" s="95"/>
    </row>
    <row r="936" spans="1:12" ht="60" customHeight="1" x14ac:dyDescent="0.3">
      <c r="A936" s="91"/>
      <c r="B936" s="937" t="s">
        <v>530</v>
      </c>
      <c r="C936" s="938"/>
      <c r="D936" s="938"/>
      <c r="E936" s="938"/>
      <c r="F936" s="938"/>
      <c r="G936" s="939"/>
      <c r="H936" s="74"/>
      <c r="I936" s="74"/>
      <c r="J936" s="95"/>
    </row>
    <row r="937" spans="1:12" ht="12.75" customHeight="1" x14ac:dyDescent="0.3">
      <c r="A937" s="91"/>
      <c r="B937" s="74"/>
      <c r="C937" s="74"/>
      <c r="D937" s="74"/>
      <c r="E937" s="74"/>
      <c r="F937" s="74"/>
      <c r="G937" s="74"/>
      <c r="H937" s="74"/>
      <c r="I937" s="74"/>
      <c r="J937" s="95"/>
    </row>
    <row r="938" spans="1:12" ht="13" x14ac:dyDescent="0.3">
      <c r="A938" s="91"/>
      <c r="B938" s="74"/>
      <c r="C938" s="74"/>
      <c r="D938" s="74"/>
      <c r="E938" s="74"/>
      <c r="F938" s="74"/>
      <c r="G938" s="74"/>
      <c r="H938" s="103" t="str">
        <f>+'Unit tariffs'!$F$11</f>
        <v>2026/2027</v>
      </c>
      <c r="I938" s="103" t="str">
        <f>+'Unit tariffs'!$F$11</f>
        <v>2026/2027</v>
      </c>
      <c r="J938" s="444" t="s">
        <v>313</v>
      </c>
      <c r="L938" s="146"/>
    </row>
    <row r="939" spans="1:12" ht="13" x14ac:dyDescent="0.3">
      <c r="A939" s="91"/>
      <c r="B939" s="104" t="s">
        <v>316</v>
      </c>
      <c r="C939" s="74"/>
      <c r="D939" s="74"/>
      <c r="E939" s="74"/>
      <c r="F939" s="74"/>
      <c r="G939" s="74"/>
      <c r="H939" s="74"/>
      <c r="I939" s="74"/>
      <c r="J939" s="95"/>
    </row>
    <row r="940" spans="1:12" ht="13" x14ac:dyDescent="0.3">
      <c r="A940" s="91"/>
      <c r="B940" s="74"/>
      <c r="C940" s="74"/>
      <c r="D940" s="74"/>
      <c r="E940" s="74"/>
      <c r="F940" s="74"/>
      <c r="G940" s="74"/>
      <c r="H940" s="74"/>
      <c r="I940" s="74"/>
      <c r="J940" s="95"/>
    </row>
    <row r="941" spans="1:12" ht="13" x14ac:dyDescent="0.3">
      <c r="A941" s="91"/>
      <c r="B941" s="74">
        <v>0.5</v>
      </c>
      <c r="C941" s="74" t="s">
        <v>9</v>
      </c>
      <c r="D941" s="74"/>
      <c r="E941" s="74"/>
      <c r="F941" s="74"/>
      <c r="G941" s="74"/>
      <c r="H941" s="76">
        <v>2023.5068128695139</v>
      </c>
      <c r="I941" s="76">
        <f>VLOOKUP($C941,'Unit tariffs'!$B$21:$F$123,5,FALSE)*$B941</f>
        <v>3586.2943486999998</v>
      </c>
      <c r="J941" s="457" t="e">
        <f>IF(+I941*'Unit tariffs'!#REF!&gt;'Unit tariffs'!#REF!,'Unit tariffs'!#REF!,+I941*'Unit tariffs'!#REF!)</f>
        <v>#REF!</v>
      </c>
    </row>
    <row r="942" spans="1:12" ht="13" x14ac:dyDescent="0.3">
      <c r="A942" s="91"/>
      <c r="B942" s="74">
        <v>1</v>
      </c>
      <c r="C942" s="74" t="s">
        <v>229</v>
      </c>
      <c r="D942" s="74"/>
      <c r="E942" s="74"/>
      <c r="F942" s="74"/>
      <c r="G942" s="74"/>
      <c r="H942" s="76">
        <v>7323.5537155157153</v>
      </c>
      <c r="I942" s="76">
        <f>VLOOKUP($C942,'Unit tariffs'!$B$21:$F$123,5,FALSE)*$B942</f>
        <v>0</v>
      </c>
      <c r="J942" s="457" t="e">
        <f>IF(+I942*'Unit tariffs'!#REF!&gt;'Unit tariffs'!#REF!,'Unit tariffs'!#REF!,+I942*'Unit tariffs'!#REF!)</f>
        <v>#REF!</v>
      </c>
    </row>
    <row r="943" spans="1:12" ht="13" x14ac:dyDescent="0.3">
      <c r="A943" s="91"/>
      <c r="B943" s="74">
        <v>0.5</v>
      </c>
      <c r="C943" s="74" t="s">
        <v>99</v>
      </c>
      <c r="D943" s="74"/>
      <c r="E943" s="74"/>
      <c r="F943" s="74"/>
      <c r="G943" s="74"/>
      <c r="H943" s="76">
        <v>97.902276374162</v>
      </c>
      <c r="I943" s="76">
        <f>VLOOKUP($C943,'Unit tariffs'!$B$21:$F$123,5,FALSE)*$B943</f>
        <v>0</v>
      </c>
      <c r="J943" s="457" t="e">
        <f>IF(+I943*'Unit tariffs'!#REF!&gt;'Unit tariffs'!#REF!,'Unit tariffs'!#REF!,+I943*'Unit tariffs'!#REF!)</f>
        <v>#REF!</v>
      </c>
    </row>
    <row r="944" spans="1:12" ht="13" x14ac:dyDescent="0.3">
      <c r="A944" s="91"/>
      <c r="B944" s="74">
        <v>16</v>
      </c>
      <c r="C944" s="74" t="str">
        <f>'Unit tariffs'!B56</f>
        <v>m 16 mm x 4 Cu cable</v>
      </c>
      <c r="D944" s="74"/>
      <c r="E944" s="74"/>
      <c r="F944" s="74"/>
      <c r="G944" s="74"/>
      <c r="H944" s="76">
        <v>1414.8923181941375</v>
      </c>
      <c r="I944" s="76">
        <f>VLOOKUP($C944,'Unit tariffs'!$B$21:$F$123,5,FALSE)*$B944</f>
        <v>6638.5823615999989</v>
      </c>
      <c r="J944" s="457" t="e">
        <f>IF(+I944*'Unit tariffs'!#REF!&gt;'Unit tariffs'!#REF!,'Unit tariffs'!#REF!,+I944*'Unit tariffs'!#REF!)</f>
        <v>#REF!</v>
      </c>
      <c r="K944" s="645"/>
    </row>
    <row r="945" spans="1:11" ht="13" x14ac:dyDescent="0.3">
      <c r="A945" s="91"/>
      <c r="B945" s="74">
        <v>8</v>
      </c>
      <c r="C945" s="74" t="str">
        <f>'Unit tariffs'!B52</f>
        <v>Bandit buckle - 19mm (per pkt of 100)</v>
      </c>
      <c r="D945" s="74"/>
      <c r="E945" s="74"/>
      <c r="F945" s="74"/>
      <c r="G945" s="74"/>
      <c r="H945" s="76">
        <v>27.806563703904001</v>
      </c>
      <c r="I945" s="76">
        <f>VLOOKUP($C945,'Unit tariffs'!$B$21:$F$123,5,FALSE)*$B945</f>
        <v>2530.9595253599996</v>
      </c>
      <c r="J945" s="457" t="e">
        <f>IF(+I945*'Unit tariffs'!#REF!&gt;'Unit tariffs'!#REF!,'Unit tariffs'!#REF!,+I945*'Unit tariffs'!#REF!)</f>
        <v>#REF!</v>
      </c>
      <c r="K945" s="645"/>
    </row>
    <row r="946" spans="1:11" ht="13" x14ac:dyDescent="0.3">
      <c r="A946" s="91"/>
      <c r="B946" s="74">
        <v>3</v>
      </c>
      <c r="C946" s="74" t="str">
        <f>'Unit tariffs'!B53</f>
        <v>Bandit strap per metre  - 19mm (price per rol of 30m)</v>
      </c>
      <c r="D946" s="74"/>
      <c r="E946" s="74"/>
      <c r="F946" s="74"/>
      <c r="G946" s="74"/>
      <c r="H946" s="76">
        <v>912.00918708000017</v>
      </c>
      <c r="I946" s="76">
        <f>VLOOKUP($C946,'Unit tariffs'!$B$21:$F$123,5,FALSE)*$B946</f>
        <v>106.27019865</v>
      </c>
      <c r="J946" s="457" t="e">
        <f>IF(+I946*'Unit tariffs'!#REF!&gt;'Unit tariffs'!#REF!,'Unit tariffs'!#REF!,+I946*'Unit tariffs'!#REF!)</f>
        <v>#REF!</v>
      </c>
      <c r="K946" s="645"/>
    </row>
    <row r="947" spans="1:11" ht="13" x14ac:dyDescent="0.3">
      <c r="A947" s="91"/>
      <c r="B947" s="74">
        <v>1</v>
      </c>
      <c r="C947" s="74" t="str">
        <f>'Unit tariffs'!B21</f>
        <v>Installation material</v>
      </c>
      <c r="D947" s="74"/>
      <c r="E947" s="74"/>
      <c r="F947" s="74"/>
      <c r="G947" s="74"/>
      <c r="H947" s="76">
        <v>271.44100000000003</v>
      </c>
      <c r="I947" s="76">
        <f>VLOOKUP($C947,'Unit tariffs'!$B$21:$F$123,5,FALSE)*$B947</f>
        <v>282.48325</v>
      </c>
      <c r="J947" s="457" t="e">
        <f>IF(+I947*'Unit tariffs'!#REF!&gt;'Unit tariffs'!#REF!,'Unit tariffs'!#REF!,+I947*'Unit tariffs'!#REF!)</f>
        <v>#REF!</v>
      </c>
      <c r="K947" s="645"/>
    </row>
    <row r="948" spans="1:11" ht="13" x14ac:dyDescent="0.3">
      <c r="A948" s="91"/>
      <c r="B948" s="74">
        <v>2</v>
      </c>
      <c r="C948" s="74" t="str">
        <f>'Unit tariffs'!B51</f>
        <v>Gland (Pratley No2)</v>
      </c>
      <c r="D948" s="74"/>
      <c r="E948" s="74"/>
      <c r="F948" s="74"/>
      <c r="G948" s="74"/>
      <c r="H948" s="81">
        <v>377.84587199999999</v>
      </c>
      <c r="I948" s="81">
        <f>VLOOKUP($C948,'Unit tariffs'!$B$21:$F$123,5,FALSE)*$B948</f>
        <v>0</v>
      </c>
      <c r="J948" s="457" t="e">
        <f>IF(+I948*'Unit tariffs'!#REF!&gt;'Unit tariffs'!#REF!,'Unit tariffs'!#REF!,+I948*'Unit tariffs'!#REF!)</f>
        <v>#REF!</v>
      </c>
      <c r="K948" s="645"/>
    </row>
    <row r="949" spans="1:11" ht="13" x14ac:dyDescent="0.3">
      <c r="A949" s="91"/>
      <c r="B949" s="74"/>
      <c r="C949" s="74"/>
      <c r="D949" s="74"/>
      <c r="E949" s="74"/>
      <c r="F949" s="74"/>
      <c r="G949" s="76"/>
      <c r="H949" s="76">
        <v>12448.957745737433</v>
      </c>
      <c r="I949" s="76">
        <f>SUM(I941:I948)</f>
        <v>13144.589684309998</v>
      </c>
      <c r="J949" s="105"/>
      <c r="K949" s="645"/>
    </row>
    <row r="950" spans="1:11" ht="13" x14ac:dyDescent="0.3">
      <c r="A950" s="91"/>
      <c r="B950" s="104" t="s">
        <v>59</v>
      </c>
      <c r="C950" s="74"/>
      <c r="D950" s="74"/>
      <c r="E950" s="74"/>
      <c r="F950" s="74"/>
      <c r="G950" s="74"/>
      <c r="H950" s="74"/>
      <c r="I950" s="74"/>
      <c r="J950" s="95"/>
    </row>
    <row r="951" spans="1:11" ht="13" x14ac:dyDescent="0.3">
      <c r="A951" s="91"/>
      <c r="B951" s="74">
        <v>1</v>
      </c>
      <c r="C951" s="74" t="str">
        <f>'Unit tariffs'!B$87</f>
        <v xml:space="preserve">hour-artisan </v>
      </c>
      <c r="D951" s="74"/>
      <c r="E951" s="74"/>
      <c r="F951" s="74"/>
      <c r="G951" s="74"/>
      <c r="H951" s="76">
        <v>322.85223173076923</v>
      </c>
      <c r="I951" s="76">
        <f>VLOOKUP($C951,'Unit tariffs'!$B$21:$F$123,5,FALSE)*$B951</f>
        <v>351.19276615384621</v>
      </c>
      <c r="J951" s="105"/>
    </row>
    <row r="952" spans="1:11" ht="13" x14ac:dyDescent="0.3">
      <c r="A952" s="91"/>
      <c r="B952" s="74">
        <v>2</v>
      </c>
      <c r="C952" s="74" t="str">
        <f>'Unit tariffs'!B$85</f>
        <v>hour-artisan assistant</v>
      </c>
      <c r="D952" s="74"/>
      <c r="E952" s="74"/>
      <c r="F952" s="74"/>
      <c r="G952" s="74"/>
      <c r="H952" s="81">
        <v>257.07161538461543</v>
      </c>
      <c r="I952" s="81">
        <f>VLOOKUP($C952,'Unit tariffs'!$B$21:$F$123,5,FALSE)*$B952</f>
        <v>279.64851692307695</v>
      </c>
      <c r="J952" s="105"/>
    </row>
    <row r="953" spans="1:11" ht="13" x14ac:dyDescent="0.3">
      <c r="A953" s="91"/>
      <c r="H953" s="76">
        <v>579.92384711538466</v>
      </c>
      <c r="I953" s="76">
        <f>SUM(I951:I952)</f>
        <v>630.84128307692322</v>
      </c>
      <c r="J953" s="105"/>
      <c r="K953" s="645"/>
    </row>
    <row r="954" spans="1:11" ht="13" x14ac:dyDescent="0.3">
      <c r="A954" s="91"/>
      <c r="B954" s="104" t="s">
        <v>60</v>
      </c>
      <c r="C954" s="74"/>
      <c r="D954" s="74"/>
      <c r="E954" s="74"/>
      <c r="F954" s="74"/>
      <c r="G954" s="74"/>
      <c r="H954" s="74"/>
      <c r="I954" s="74"/>
      <c r="J954" s="95"/>
    </row>
    <row r="955" spans="1:11" ht="13" x14ac:dyDescent="0.3">
      <c r="A955" s="91"/>
      <c r="B955" s="74">
        <v>2</v>
      </c>
      <c r="C955" s="74" t="str">
        <f>'Unit tariffs'!B$87</f>
        <v xml:space="preserve">hour-artisan </v>
      </c>
      <c r="D955" s="74"/>
      <c r="E955" s="74"/>
      <c r="F955" s="74"/>
      <c r="G955" s="74"/>
      <c r="H955" s="76">
        <v>645.70446346153847</v>
      </c>
      <c r="I955" s="76">
        <f>VLOOKUP($C955,'Unit tariffs'!$B$21:$F$123,5,FALSE)*$B955</f>
        <v>702.38553230769242</v>
      </c>
      <c r="J955" s="105"/>
    </row>
    <row r="956" spans="1:11" ht="13" x14ac:dyDescent="0.3">
      <c r="A956" s="91"/>
      <c r="B956" s="74">
        <v>4</v>
      </c>
      <c r="C956" s="74" t="str">
        <f>'Unit tariffs'!B$85</f>
        <v>hour-artisan assistant</v>
      </c>
      <c r="D956" s="74"/>
      <c r="E956" s="74"/>
      <c r="F956" s="74"/>
      <c r="G956" s="74"/>
      <c r="H956" s="81">
        <v>514.14323076923085</v>
      </c>
      <c r="I956" s="81">
        <f>VLOOKUP($C956,'Unit tariffs'!$B$21:$F$123,5,FALSE)*$B956</f>
        <v>559.29703384615391</v>
      </c>
      <c r="J956" s="105"/>
    </row>
    <row r="957" spans="1:11" ht="13" x14ac:dyDescent="0.3">
      <c r="A957" s="91"/>
      <c r="B957" s="74"/>
      <c r="C957" s="74"/>
      <c r="D957" s="74"/>
      <c r="E957" s="74"/>
      <c r="F957" s="74"/>
      <c r="G957" s="74"/>
      <c r="H957" s="76">
        <v>1159.8476942307693</v>
      </c>
      <c r="I957" s="76">
        <f>SUM(I955:I956)</f>
        <v>1261.6825661538464</v>
      </c>
      <c r="J957" s="105"/>
      <c r="K957" s="645"/>
    </row>
    <row r="958" spans="1:11" ht="13" x14ac:dyDescent="0.3">
      <c r="A958" s="91"/>
      <c r="B958" s="74"/>
      <c r="C958" s="74"/>
      <c r="D958" s="74"/>
      <c r="E958" s="74"/>
      <c r="F958" s="74"/>
      <c r="G958" s="74"/>
      <c r="H958" s="76"/>
      <c r="I958" s="76"/>
      <c r="J958" s="105"/>
    </row>
    <row r="959" spans="1:11" ht="13" x14ac:dyDescent="0.3">
      <c r="A959" s="91"/>
      <c r="B959" s="104" t="s">
        <v>43</v>
      </c>
      <c r="C959" s="74"/>
      <c r="D959" s="74"/>
      <c r="E959" s="74"/>
      <c r="F959" s="74"/>
      <c r="G959" s="74"/>
      <c r="H959" s="74"/>
      <c r="I959" s="74"/>
      <c r="J959" s="95"/>
    </row>
    <row r="960" spans="1:11" ht="13" x14ac:dyDescent="0.3">
      <c r="A960" s="91"/>
      <c r="B960" s="74">
        <v>24</v>
      </c>
      <c r="C960" s="74" t="str">
        <f>'Unit tariffs'!B$111</f>
        <v>km-truck with platform</v>
      </c>
      <c r="D960" s="74"/>
      <c r="E960" s="74"/>
      <c r="F960" s="74"/>
      <c r="G960" s="74"/>
      <c r="H960" s="76">
        <v>1010.8920834182238</v>
      </c>
      <c r="I960" s="76">
        <f>VLOOKUP($C960,'Unit tariffs'!$B$21:$F$123,5,FALSE)*$B960</f>
        <v>1182.7997218118533</v>
      </c>
      <c r="J960" s="105"/>
    </row>
    <row r="961" spans="1:12" ht="13" x14ac:dyDescent="0.3">
      <c r="A961" s="91"/>
      <c r="B961" s="74">
        <f>+B955</f>
        <v>2</v>
      </c>
      <c r="C961" s="74" t="str">
        <f>'Unit tariffs'!B$112</f>
        <v>hour-truck with platform</v>
      </c>
      <c r="D961" s="74"/>
      <c r="E961" s="74"/>
      <c r="F961" s="74"/>
      <c r="G961" s="74"/>
      <c r="H961" s="76">
        <v>409.96883462334625</v>
      </c>
      <c r="I961" s="76">
        <f>VLOOKUP($C961,'Unit tariffs'!$B$21:$F$123,5,FALSE)*$B961</f>
        <v>479.6862409925584</v>
      </c>
      <c r="J961" s="105"/>
    </row>
    <row r="962" spans="1:12" ht="13" x14ac:dyDescent="0.3">
      <c r="A962" s="91"/>
      <c r="B962" s="74"/>
      <c r="C962" s="74"/>
      <c r="D962" s="74"/>
      <c r="E962" s="74"/>
      <c r="F962" s="74"/>
      <c r="G962" s="74"/>
      <c r="H962" s="137">
        <v>1420.8609180415701</v>
      </c>
      <c r="I962" s="137">
        <f>SUM(I960:I961)</f>
        <v>1662.4859628044117</v>
      </c>
      <c r="J962" s="105"/>
      <c r="K962" s="645"/>
    </row>
    <row r="963" spans="1:12" ht="13" x14ac:dyDescent="0.3">
      <c r="A963" s="91"/>
      <c r="B963" s="104" t="s">
        <v>61</v>
      </c>
      <c r="C963" s="74"/>
      <c r="D963" s="74"/>
      <c r="E963" s="74"/>
      <c r="F963" s="74"/>
      <c r="G963" s="74"/>
      <c r="H963" s="76"/>
      <c r="I963" s="76"/>
      <c r="J963" s="105"/>
    </row>
    <row r="964" spans="1:12" ht="13" x14ac:dyDescent="0.3">
      <c r="A964" s="91"/>
      <c r="B964" s="104"/>
      <c r="C964" s="74"/>
      <c r="D964" s="74"/>
      <c r="E964" s="74"/>
      <c r="F964" s="74"/>
      <c r="G964" s="74"/>
      <c r="H964" s="76"/>
      <c r="I964" s="76"/>
      <c r="J964" s="105"/>
    </row>
    <row r="965" spans="1:12" ht="13" x14ac:dyDescent="0.3">
      <c r="A965" s="91"/>
      <c r="B965" s="85">
        <v>12</v>
      </c>
      <c r="C965" s="85" t="str">
        <f>'Unit tariffs'!B98</f>
        <v>m trench 0.6 m deep, Dig &amp; Backfill (Internal)</v>
      </c>
      <c r="D965" s="85"/>
      <c r="E965" s="85"/>
      <c r="F965" s="85"/>
      <c r="G965" s="85"/>
      <c r="H965" s="188">
        <v>3947.0446430769234</v>
      </c>
      <c r="I965" s="188">
        <f>VLOOKUP($C965,'Unit tariffs'!$B$21:$F$123,5,FALSE)*$B965</f>
        <v>4346.2028381538466</v>
      </c>
      <c r="J965" s="105"/>
    </row>
    <row r="966" spans="1:12" ht="13" x14ac:dyDescent="0.3">
      <c r="A966" s="91"/>
      <c r="B966" s="85">
        <v>3</v>
      </c>
      <c r="C966" s="85" t="str">
        <f>'Unit tariffs'!B99</f>
        <v>m Additional rock per sqm (Internal)</v>
      </c>
      <c r="D966" s="85"/>
      <c r="E966" s="85"/>
      <c r="F966" s="85"/>
      <c r="G966" s="85"/>
      <c r="H966" s="708">
        <v>5782.8653723076932</v>
      </c>
      <c r="I966" s="708">
        <f>VLOOKUP($C966,'Unit tariffs'!$B$21:$F$123,5,FALSE)*$B966</f>
        <v>6428.129729538462</v>
      </c>
      <c r="J966" s="105"/>
    </row>
    <row r="967" spans="1:12" ht="13.5" thickBot="1" x14ac:dyDescent="0.35">
      <c r="A967" s="91"/>
      <c r="B967" s="74"/>
      <c r="C967" s="85"/>
      <c r="D967" s="74"/>
      <c r="E967" s="74"/>
      <c r="F967" s="74"/>
      <c r="G967" s="74"/>
      <c r="H967" s="343">
        <v>9729.9100153846157</v>
      </c>
      <c r="I967" s="343">
        <f>SUM(I965:I966)</f>
        <v>10774.332567692309</v>
      </c>
      <c r="J967" s="105"/>
      <c r="K967" s="745"/>
      <c r="L967" s="646"/>
    </row>
    <row r="968" spans="1:12" ht="13.5" thickTop="1" x14ac:dyDescent="0.3">
      <c r="A968" s="91"/>
      <c r="B968" s="74"/>
      <c r="C968" s="74"/>
      <c r="D968" s="74"/>
      <c r="E968" s="74"/>
      <c r="F968" s="74"/>
      <c r="G968" s="76"/>
      <c r="H968" s="76">
        <v>25339.500220509773</v>
      </c>
      <c r="I968" s="76">
        <f>I962+I957+I953+I949+I967</f>
        <v>27473.93206403749</v>
      </c>
      <c r="J968" s="105"/>
    </row>
    <row r="969" spans="1:12" ht="13.5" thickBot="1" x14ac:dyDescent="0.35">
      <c r="A969" s="91"/>
      <c r="B969" s="104" t="str">
        <f>'Unit tariffs'!$B$7</f>
        <v>Administration Levy (Indirect Cost)</v>
      </c>
      <c r="C969" s="74"/>
      <c r="D969" s="106">
        <f>'Unit tariffs'!$C$7</f>
        <v>0.1</v>
      </c>
      <c r="E969" s="74" t="s">
        <v>311</v>
      </c>
      <c r="F969" s="186">
        <f>+'Unit tariffs'!$F$7</f>
        <v>10000</v>
      </c>
      <c r="G969" s="76"/>
      <c r="H969" s="108">
        <v>2533.9500220509776</v>
      </c>
      <c r="I969" s="108">
        <f>IF(I968*$D969&gt;='Unit tariffs'!$E$7,'Unit tariffs'!$E$7,I968*$D969)</f>
        <v>2747.393206403749</v>
      </c>
      <c r="J969" s="105"/>
    </row>
    <row r="970" spans="1:12" ht="14" thickTop="1" thickBot="1" x14ac:dyDescent="0.35">
      <c r="A970" s="91"/>
      <c r="B970" s="104" t="s">
        <v>44</v>
      </c>
      <c r="C970" s="74"/>
      <c r="D970" s="74"/>
      <c r="E970" s="74"/>
      <c r="F970" s="74"/>
      <c r="G970" s="76"/>
      <c r="H970" s="647">
        <v>27873.45024256075</v>
      </c>
      <c r="I970" s="647">
        <f>SUM(I968:I969)</f>
        <v>30221.325270441237</v>
      </c>
      <c r="J970" s="105"/>
      <c r="K970" s="645"/>
    </row>
    <row r="971" spans="1:12" ht="13.5" thickTop="1" x14ac:dyDescent="0.3">
      <c r="A971" s="91"/>
      <c r="B971" s="74"/>
      <c r="C971" s="74"/>
      <c r="D971" s="74"/>
      <c r="E971" s="74"/>
      <c r="F971" s="74"/>
      <c r="G971" s="74"/>
      <c r="H971" s="74"/>
      <c r="I971" s="74"/>
      <c r="J971" s="95"/>
    </row>
    <row r="972" spans="1:12" ht="13" x14ac:dyDescent="0.3">
      <c r="A972" s="91"/>
      <c r="B972" s="104" t="s">
        <v>45</v>
      </c>
      <c r="C972" s="74"/>
      <c r="D972" s="74"/>
      <c r="E972" s="74"/>
      <c r="F972" s="74"/>
      <c r="G972" s="74"/>
      <c r="H972" s="84">
        <v>27870</v>
      </c>
      <c r="I972" s="84">
        <f>ROUND(I970,-1)</f>
        <v>30220</v>
      </c>
      <c r="J972" s="110"/>
    </row>
    <row r="973" spans="1:12" ht="13" x14ac:dyDescent="0.3">
      <c r="A973" s="91"/>
      <c r="B973" s="74"/>
      <c r="C973" s="74"/>
      <c r="D973" s="74"/>
      <c r="E973" s="74"/>
      <c r="F973" s="74"/>
      <c r="G973" s="74"/>
      <c r="H973" s="112">
        <v>0</v>
      </c>
      <c r="I973" s="112">
        <f>(I972-H972)/H972</f>
        <v>8.4320057409400795E-2</v>
      </c>
      <c r="J973" s="113"/>
    </row>
    <row r="974" spans="1:12" ht="13" x14ac:dyDescent="0.3">
      <c r="A974" s="91"/>
      <c r="B974" s="74"/>
      <c r="C974" s="74"/>
      <c r="D974" s="74"/>
      <c r="E974" s="74"/>
      <c r="F974" s="74"/>
      <c r="G974" s="74"/>
      <c r="H974" s="112"/>
      <c r="I974" s="112"/>
      <c r="J974" s="113"/>
    </row>
    <row r="975" spans="1:12" ht="41" customHeight="1" x14ac:dyDescent="0.3">
      <c r="A975" s="91"/>
      <c r="B975" s="937" t="s">
        <v>533</v>
      </c>
      <c r="C975" s="938"/>
      <c r="D975" s="938"/>
      <c r="E975" s="938"/>
      <c r="F975" s="938"/>
      <c r="G975" s="939"/>
      <c r="H975" s="103"/>
      <c r="I975" s="103"/>
      <c r="J975" s="113"/>
    </row>
    <row r="976" spans="1:12" ht="13" x14ac:dyDescent="0.3">
      <c r="A976" s="91"/>
      <c r="B976" s="74"/>
      <c r="C976" s="74"/>
      <c r="D976" s="74"/>
      <c r="E976" s="74"/>
      <c r="F976" s="74"/>
      <c r="G976" s="74"/>
      <c r="H976" s="74"/>
      <c r="I976" s="74"/>
      <c r="J976" s="113"/>
    </row>
    <row r="977" spans="1:12" ht="29" customHeight="1" x14ac:dyDescent="0.3">
      <c r="A977" s="91"/>
      <c r="B977" s="940" t="s">
        <v>531</v>
      </c>
      <c r="C977" s="941"/>
      <c r="D977" s="941"/>
      <c r="E977" s="941"/>
      <c r="F977" s="941"/>
      <c r="G977" s="942"/>
      <c r="H977" s="84"/>
      <c r="I977" s="84"/>
      <c r="J977" s="113"/>
    </row>
    <row r="978" spans="1:12" ht="13" x14ac:dyDescent="0.3">
      <c r="A978" s="91"/>
      <c r="B978" s="74"/>
      <c r="C978" s="74"/>
      <c r="D978" s="74"/>
      <c r="E978" s="74"/>
      <c r="F978" s="74"/>
      <c r="G978" s="74"/>
      <c r="H978" s="103" t="str">
        <f>+'Unit tariffs'!$F$11</f>
        <v>2026/2027</v>
      </c>
      <c r="I978" s="103" t="str">
        <f>+'Unit tariffs'!$F$11</f>
        <v>2026/2027</v>
      </c>
      <c r="J978" s="444" t="s">
        <v>313</v>
      </c>
      <c r="L978" s="146"/>
    </row>
    <row r="979" spans="1:12" ht="13" x14ac:dyDescent="0.3">
      <c r="A979" s="91"/>
      <c r="B979" s="104" t="s">
        <v>316</v>
      </c>
      <c r="C979" s="74"/>
      <c r="D979" s="74"/>
      <c r="E979" s="74"/>
      <c r="F979" s="74"/>
      <c r="G979" s="74"/>
      <c r="H979" s="76"/>
      <c r="I979" s="76"/>
      <c r="J979" s="95"/>
    </row>
    <row r="980" spans="1:12" ht="13" x14ac:dyDescent="0.3">
      <c r="A980" s="91"/>
      <c r="B980" s="74"/>
      <c r="C980" s="74"/>
      <c r="D980" s="74"/>
      <c r="E980" s="74"/>
      <c r="F980" s="74"/>
      <c r="G980" s="74"/>
      <c r="H980" s="74"/>
      <c r="I980" s="74"/>
      <c r="J980" s="95"/>
    </row>
    <row r="981" spans="1:12" ht="13" x14ac:dyDescent="0.3">
      <c r="A981" s="91"/>
      <c r="B981" s="74">
        <v>1</v>
      </c>
      <c r="C981" s="74" t="s">
        <v>96</v>
      </c>
      <c r="D981" s="74"/>
      <c r="E981" s="74"/>
      <c r="F981" s="74"/>
      <c r="G981" s="74"/>
      <c r="H981" s="76">
        <v>2064.9928363200002</v>
      </c>
      <c r="I981" s="76">
        <f>VLOOKUP($C981,'Unit tariffs'!$B$21:$F$123,5,FALSE)*$B981</f>
        <v>2148.9969740399997</v>
      </c>
      <c r="J981" s="457" t="e">
        <f>IF(+I981*'Unit tariffs'!#REF!&gt;'Unit tariffs'!#REF!,'Unit tariffs'!#REF!,+I981*'Unit tariffs'!#REF!)</f>
        <v>#REF!</v>
      </c>
    </row>
    <row r="982" spans="1:12" ht="13" x14ac:dyDescent="0.3">
      <c r="A982" s="91"/>
      <c r="B982" s="74">
        <v>1</v>
      </c>
      <c r="C982" s="74" t="s">
        <v>228</v>
      </c>
      <c r="D982" s="74"/>
      <c r="E982" s="74"/>
      <c r="F982" s="74"/>
      <c r="G982" s="74"/>
      <c r="H982" s="76">
        <v>2262.7591214051877</v>
      </c>
      <c r="I982" s="76">
        <f>VLOOKUP($C982,'Unit tariffs'!$B$21:$F$123,5,FALSE)*$B982</f>
        <v>1214.6779749999998</v>
      </c>
      <c r="J982" s="457" t="e">
        <f>IF(+I982*'Unit tariffs'!#REF!&gt;'Unit tariffs'!#REF!,'Unit tariffs'!#REF!,+I982*'Unit tariffs'!#REF!)</f>
        <v>#REF!</v>
      </c>
    </row>
    <row r="983" spans="1:12" ht="13" x14ac:dyDescent="0.3">
      <c r="A983" s="91"/>
      <c r="B983" s="74">
        <v>1</v>
      </c>
      <c r="C983" s="74" t="s">
        <v>99</v>
      </c>
      <c r="D983" s="74"/>
      <c r="E983" s="74"/>
      <c r="F983" s="74"/>
      <c r="G983" s="74"/>
      <c r="H983" s="76">
        <v>195.804552748324</v>
      </c>
      <c r="I983" s="76">
        <f>VLOOKUP($C983,'Unit tariffs'!$B$21:$F$123,5,FALSE)*$B983</f>
        <v>0</v>
      </c>
      <c r="J983" s="457" t="e">
        <f>IF(+I983*'Unit tariffs'!#REF!&gt;'Unit tariffs'!#REF!,'Unit tariffs'!#REF!,+I983*'Unit tariffs'!#REF!)</f>
        <v>#REF!</v>
      </c>
    </row>
    <row r="984" spans="1:12" ht="13" x14ac:dyDescent="0.3">
      <c r="A984" s="91"/>
      <c r="B984" s="74">
        <v>37</v>
      </c>
      <c r="C984" s="74" t="s">
        <v>15</v>
      </c>
      <c r="D984" s="74"/>
      <c r="E984" s="74"/>
      <c r="F984" s="74"/>
      <c r="G984" s="74"/>
      <c r="H984" s="76">
        <v>1665.1819586000004</v>
      </c>
      <c r="I984" s="76">
        <f>VLOOKUP($C984,'Unit tariffs'!$B$21:$F$123,5,FALSE)*$B984</f>
        <v>366.65195916999994</v>
      </c>
      <c r="J984" s="457" t="e">
        <f>IF(+I984*'Unit tariffs'!#REF!&gt;'Unit tariffs'!#REF!,'Unit tariffs'!#REF!,+I984*'Unit tariffs'!#REF!)</f>
        <v>#REF!</v>
      </c>
      <c r="K984" s="645"/>
    </row>
    <row r="985" spans="1:12" ht="13" x14ac:dyDescent="0.3">
      <c r="A985" s="91"/>
      <c r="B985" s="74">
        <v>2</v>
      </c>
      <c r="C985" s="74" t="s">
        <v>16</v>
      </c>
      <c r="D985" s="74"/>
      <c r="E985" s="74"/>
      <c r="F985" s="74"/>
      <c r="G985" s="74"/>
      <c r="H985" s="76">
        <v>39.704944968653997</v>
      </c>
      <c r="I985" s="76">
        <f>VLOOKUP($C985,'Unit tariffs'!$B$21:$F$123,5,FALSE)*$B985</f>
        <v>32.429077100000001</v>
      </c>
      <c r="J985" s="457" t="e">
        <f>IF(+I985*'Unit tariffs'!#REF!&gt;'Unit tariffs'!#REF!,'Unit tariffs'!#REF!,+I985*'Unit tariffs'!#REF!)</f>
        <v>#REF!</v>
      </c>
      <c r="K985" s="645"/>
    </row>
    <row r="986" spans="1:12" ht="13" x14ac:dyDescent="0.3">
      <c r="A986" s="91"/>
      <c r="B986" s="74">
        <v>1</v>
      </c>
      <c r="C986" s="74" t="s">
        <v>22</v>
      </c>
      <c r="D986" s="74"/>
      <c r="E986" s="74"/>
      <c r="F986" s="74"/>
      <c r="G986" s="74"/>
      <c r="H986" s="76">
        <v>15.5807134</v>
      </c>
      <c r="I986" s="76">
        <f>VLOOKUP($C986,'Unit tariffs'!$B$21:$F$123,5,FALSE)*$B986</f>
        <v>16.948995</v>
      </c>
      <c r="J986" s="457" t="e">
        <f>IF(+I986*'Unit tariffs'!#REF!&gt;'Unit tariffs'!#REF!,'Unit tariffs'!#REF!,+I986*'Unit tariffs'!#REF!)</f>
        <v>#REF!</v>
      </c>
      <c r="K986" s="645"/>
    </row>
    <row r="987" spans="1:12" ht="13" x14ac:dyDescent="0.3">
      <c r="A987" s="91"/>
      <c r="B987" s="74">
        <v>2</v>
      </c>
      <c r="C987" s="199" t="s">
        <v>339</v>
      </c>
      <c r="D987" s="74"/>
      <c r="E987" s="74"/>
      <c r="F987" s="74"/>
      <c r="G987" s="74"/>
      <c r="H987" s="76">
        <v>15.5807134</v>
      </c>
      <c r="I987" s="76">
        <f>VLOOKUP(C986,'Unit tariffs'!B21:H73,7,FALSE)*B986</f>
        <v>16.948995</v>
      </c>
      <c r="J987" s="457" t="e">
        <f>IF(+I987*'Unit tariffs'!#REF!&gt;'Unit tariffs'!#REF!,'Unit tariffs'!#REF!,+I987*'Unit tariffs'!#REF!)</f>
        <v>#REF!</v>
      </c>
      <c r="K987" s="645"/>
    </row>
    <row r="988" spans="1:12" ht="13" x14ac:dyDescent="0.3">
      <c r="A988" s="91"/>
      <c r="B988" s="74">
        <v>2</v>
      </c>
      <c r="C988" s="74" t="s">
        <v>338</v>
      </c>
      <c r="D988" s="74"/>
      <c r="E988" s="74"/>
      <c r="F988" s="74"/>
      <c r="G988" s="74"/>
      <c r="H988" s="81">
        <v>1575.7052765545598</v>
      </c>
      <c r="I988" s="81">
        <f>VLOOKUP($C988,'Unit tariffs'!$B$21:$F$123,5,FALSE)*$B988</f>
        <v>60.903388699999994</v>
      </c>
      <c r="J988" s="457" t="e">
        <f>IF(+I988*'Unit tariffs'!#REF!&gt;'Unit tariffs'!#REF!,'Unit tariffs'!#REF!,+I988*'Unit tariffs'!#REF!)</f>
        <v>#REF!</v>
      </c>
      <c r="K988" s="645"/>
    </row>
    <row r="989" spans="1:12" ht="13" x14ac:dyDescent="0.3">
      <c r="A989" s="91"/>
      <c r="B989" s="74"/>
      <c r="C989" s="74"/>
      <c r="D989" s="74"/>
      <c r="E989" s="74"/>
      <c r="F989" s="74"/>
      <c r="G989" s="76"/>
      <c r="H989" s="76">
        <v>7835.3101173967243</v>
      </c>
      <c r="I989" s="76">
        <f>SUM(I981:I988)</f>
        <v>3857.5573640100001</v>
      </c>
      <c r="J989" s="105"/>
      <c r="K989" s="645"/>
    </row>
    <row r="990" spans="1:12" ht="13" x14ac:dyDescent="0.3">
      <c r="A990" s="91"/>
      <c r="B990" s="104" t="s">
        <v>59</v>
      </c>
      <c r="C990" s="74"/>
      <c r="D990" s="74"/>
      <c r="E990" s="74"/>
      <c r="F990" s="74"/>
      <c r="G990" s="74"/>
      <c r="H990" s="74"/>
      <c r="I990" s="74"/>
      <c r="J990" s="95"/>
    </row>
    <row r="991" spans="1:12" ht="13" x14ac:dyDescent="0.3">
      <c r="A991" s="91"/>
      <c r="B991" s="74">
        <v>1</v>
      </c>
      <c r="C991" s="74" t="str">
        <f>'Unit tariffs'!B$87</f>
        <v xml:space="preserve">hour-artisan </v>
      </c>
      <c r="D991" s="74"/>
      <c r="E991" s="74"/>
      <c r="F991" s="74"/>
      <c r="G991" s="74"/>
      <c r="H991" s="76">
        <v>322.85223173076923</v>
      </c>
      <c r="I991" s="76">
        <f>VLOOKUP($C991,'Unit tariffs'!$B$21:$F$123,5,FALSE)*$B991</f>
        <v>351.19276615384621</v>
      </c>
      <c r="J991" s="105"/>
    </row>
    <row r="992" spans="1:12" ht="13" x14ac:dyDescent="0.3">
      <c r="A992" s="91"/>
      <c r="B992" s="74">
        <v>2</v>
      </c>
      <c r="C992" s="74" t="str">
        <f>'Unit tariffs'!B$85</f>
        <v>hour-artisan assistant</v>
      </c>
      <c r="D992" s="74"/>
      <c r="E992" s="74"/>
      <c r="F992" s="74"/>
      <c r="G992" s="74"/>
      <c r="H992" s="81">
        <v>257.07161538461543</v>
      </c>
      <c r="I992" s="81">
        <f>VLOOKUP($C992,'Unit tariffs'!$B$21:$F$123,5,FALSE)*$B992</f>
        <v>279.64851692307695</v>
      </c>
      <c r="J992" s="105"/>
    </row>
    <row r="993" spans="1:11" ht="13" x14ac:dyDescent="0.3">
      <c r="A993" s="91"/>
      <c r="H993" s="76">
        <v>579.92384711538466</v>
      </c>
      <c r="I993" s="76">
        <f>SUM(I991:I992)</f>
        <v>630.84128307692322</v>
      </c>
      <c r="J993" s="105"/>
      <c r="K993" s="645"/>
    </row>
    <row r="994" spans="1:11" ht="13" x14ac:dyDescent="0.3">
      <c r="A994" s="91"/>
      <c r="B994" s="104" t="s">
        <v>60</v>
      </c>
      <c r="C994" s="74"/>
      <c r="D994" s="74"/>
      <c r="E994" s="74"/>
      <c r="F994" s="74"/>
      <c r="G994" s="74"/>
      <c r="H994" s="74"/>
      <c r="I994" s="74"/>
      <c r="J994" s="95"/>
    </row>
    <row r="995" spans="1:11" ht="13" x14ac:dyDescent="0.3">
      <c r="A995" s="91"/>
      <c r="B995" s="74">
        <v>2</v>
      </c>
      <c r="C995" s="74" t="str">
        <f>'Unit tariffs'!B$87</f>
        <v xml:space="preserve">hour-artisan </v>
      </c>
      <c r="D995" s="74"/>
      <c r="E995" s="74"/>
      <c r="F995" s="74"/>
      <c r="G995" s="74"/>
      <c r="H995" s="76">
        <v>645.70446346153847</v>
      </c>
      <c r="I995" s="76">
        <f>VLOOKUP($C995,'Unit tariffs'!$B$21:$F$123,5,FALSE)*$B995</f>
        <v>702.38553230769242</v>
      </c>
      <c r="J995" s="105"/>
    </row>
    <row r="996" spans="1:11" ht="13" x14ac:dyDescent="0.3">
      <c r="A996" s="91"/>
      <c r="B996" s="74">
        <v>4</v>
      </c>
      <c r="C996" s="74" t="str">
        <f>'Unit tariffs'!B$85</f>
        <v>hour-artisan assistant</v>
      </c>
      <c r="D996" s="74"/>
      <c r="E996" s="74"/>
      <c r="F996" s="74"/>
      <c r="G996" s="74"/>
      <c r="H996" s="81">
        <v>514.14323076923085</v>
      </c>
      <c r="I996" s="81">
        <f>VLOOKUP($C996,'Unit tariffs'!$B$21:$F$123,5,FALSE)*$B996</f>
        <v>559.29703384615391</v>
      </c>
      <c r="J996" s="105"/>
    </row>
    <row r="997" spans="1:11" ht="13" x14ac:dyDescent="0.3">
      <c r="A997" s="91"/>
      <c r="B997" s="74"/>
      <c r="C997" s="74"/>
      <c r="D997" s="74"/>
      <c r="E997" s="74"/>
      <c r="F997" s="74"/>
      <c r="G997" s="74"/>
      <c r="H997" s="76">
        <v>1159.8476942307693</v>
      </c>
      <c r="I997" s="76">
        <f>SUM(I995:I996)</f>
        <v>1261.6825661538464</v>
      </c>
      <c r="J997" s="105"/>
      <c r="K997" s="645"/>
    </row>
    <row r="998" spans="1:11" ht="13" x14ac:dyDescent="0.3">
      <c r="A998" s="91"/>
      <c r="B998" s="74"/>
      <c r="C998" s="74"/>
      <c r="D998" s="74"/>
      <c r="E998" s="74"/>
      <c r="F998" s="74"/>
      <c r="G998" s="74"/>
      <c r="H998" s="76"/>
      <c r="I998" s="76"/>
      <c r="J998" s="105"/>
    </row>
    <row r="999" spans="1:11" ht="13" x14ac:dyDescent="0.3">
      <c r="A999" s="91"/>
      <c r="B999" s="104" t="s">
        <v>43</v>
      </c>
      <c r="C999" s="74"/>
      <c r="D999" s="74"/>
      <c r="E999" s="74"/>
      <c r="F999" s="74"/>
      <c r="G999" s="74"/>
      <c r="H999" s="74"/>
      <c r="I999" s="74"/>
      <c r="J999" s="95"/>
    </row>
    <row r="1000" spans="1:11" ht="13" x14ac:dyDescent="0.3">
      <c r="A1000" s="91"/>
      <c r="B1000" s="74">
        <v>24</v>
      </c>
      <c r="C1000" s="74" t="str">
        <f>'Unit tariffs'!B$111</f>
        <v>km-truck with platform</v>
      </c>
      <c r="D1000" s="74"/>
      <c r="E1000" s="74"/>
      <c r="F1000" s="74"/>
      <c r="G1000" s="74"/>
      <c r="H1000" s="76">
        <v>1010.8920834182238</v>
      </c>
      <c r="I1000" s="76">
        <f>VLOOKUP($C1000,'Unit tariffs'!$B$21:$F$123,5,FALSE)*$B1000</f>
        <v>1182.7997218118533</v>
      </c>
      <c r="J1000" s="105"/>
    </row>
    <row r="1001" spans="1:11" ht="13" x14ac:dyDescent="0.3">
      <c r="A1001" s="91"/>
      <c r="B1001" s="74">
        <f>+B995</f>
        <v>2</v>
      </c>
      <c r="C1001" s="74" t="str">
        <f>'Unit tariffs'!B$112</f>
        <v>hour-truck with platform</v>
      </c>
      <c r="D1001" s="74"/>
      <c r="E1001" s="74"/>
      <c r="F1001" s="74"/>
      <c r="G1001" s="74"/>
      <c r="H1001" s="76">
        <v>409.96883462334625</v>
      </c>
      <c r="I1001" s="76">
        <f>VLOOKUP($C1001,'Unit tariffs'!$B$21:$F$123,5,FALSE)*$B1001</f>
        <v>479.6862409925584</v>
      </c>
      <c r="J1001" s="105"/>
    </row>
    <row r="1002" spans="1:11" ht="13" x14ac:dyDescent="0.3">
      <c r="A1002" s="91"/>
      <c r="B1002" s="74"/>
      <c r="C1002" s="74"/>
      <c r="D1002" s="74"/>
      <c r="E1002" s="74"/>
      <c r="F1002" s="74"/>
      <c r="G1002" s="74"/>
      <c r="H1002" s="137">
        <v>1420.8609180415701</v>
      </c>
      <c r="I1002" s="137">
        <f>SUM(I1000:I1001)</f>
        <v>1662.4859628044117</v>
      </c>
      <c r="J1002" s="105"/>
      <c r="K1002" s="645"/>
    </row>
    <row r="1003" spans="1:11" ht="13.5" thickBot="1" x14ac:dyDescent="0.35">
      <c r="A1003" s="91"/>
      <c r="B1003" s="74"/>
      <c r="C1003" s="74"/>
      <c r="D1003" s="74"/>
      <c r="E1003" s="74"/>
      <c r="F1003" s="74"/>
      <c r="G1003" s="74"/>
      <c r="H1003" s="108"/>
      <c r="I1003" s="108"/>
      <c r="J1003" s="105"/>
    </row>
    <row r="1004" spans="1:11" ht="13.5" thickTop="1" x14ac:dyDescent="0.3">
      <c r="A1004" s="91"/>
      <c r="B1004" s="74"/>
      <c r="C1004" s="74"/>
      <c r="D1004" s="74"/>
      <c r="E1004" s="74"/>
      <c r="F1004" s="74"/>
      <c r="G1004" s="76"/>
      <c r="H1004" s="76">
        <v>10995.942576784448</v>
      </c>
      <c r="I1004" s="76">
        <f>I1002+I997+I993+I989+I1003</f>
        <v>7412.5671760451814</v>
      </c>
      <c r="J1004" s="105"/>
    </row>
    <row r="1005" spans="1:11" ht="13.5" thickBot="1" x14ac:dyDescent="0.35">
      <c r="A1005" s="91"/>
      <c r="B1005" s="104" t="str">
        <f>'Unit tariffs'!$B$7</f>
        <v>Administration Levy (Indirect Cost)</v>
      </c>
      <c r="C1005" s="74"/>
      <c r="D1005" s="106">
        <f>'Unit tariffs'!$C$7</f>
        <v>0.1</v>
      </c>
      <c r="E1005" s="74" t="s">
        <v>311</v>
      </c>
      <c r="F1005" s="186">
        <f>+'Unit tariffs'!$F$7</f>
        <v>10000</v>
      </c>
      <c r="G1005" s="76"/>
      <c r="H1005" s="108">
        <v>1099.5942576784448</v>
      </c>
      <c r="I1005" s="108">
        <f>IF(I1004*$D1005&gt;='Unit tariffs'!$E$7,'Unit tariffs'!$E$7,I1004*$D1005)</f>
        <v>741.25671760451814</v>
      </c>
      <c r="J1005" s="105"/>
    </row>
    <row r="1006" spans="1:11" ht="14" thickTop="1" thickBot="1" x14ac:dyDescent="0.35">
      <c r="A1006" s="91"/>
      <c r="B1006" s="104" t="s">
        <v>44</v>
      </c>
      <c r="C1006" s="74"/>
      <c r="D1006" s="74"/>
      <c r="E1006" s="74"/>
      <c r="F1006" s="74"/>
      <c r="G1006" s="76"/>
      <c r="H1006" s="647">
        <v>12095.536834462893</v>
      </c>
      <c r="I1006" s="647">
        <f>SUM(I1004:I1005)</f>
        <v>8153.8238936497</v>
      </c>
      <c r="J1006" s="105"/>
      <c r="K1006" s="645"/>
    </row>
    <row r="1007" spans="1:11" ht="13.5" thickTop="1" x14ac:dyDescent="0.3">
      <c r="A1007" s="91"/>
      <c r="B1007" s="74"/>
      <c r="C1007" s="74"/>
      <c r="D1007" s="74"/>
      <c r="E1007" s="74"/>
      <c r="F1007" s="74"/>
      <c r="G1007" s="74"/>
      <c r="H1007" s="74"/>
      <c r="I1007" s="74"/>
      <c r="J1007" s="95"/>
    </row>
    <row r="1008" spans="1:11" ht="13" x14ac:dyDescent="0.3">
      <c r="A1008" s="91"/>
      <c r="B1008" s="74"/>
      <c r="C1008" s="74"/>
      <c r="D1008" s="74"/>
      <c r="E1008" s="74"/>
      <c r="F1008" s="74"/>
      <c r="G1008" s="74"/>
      <c r="H1008" s="84">
        <v>12100</v>
      </c>
      <c r="I1008" s="84">
        <f>ROUND(I1006,-1)</f>
        <v>8150</v>
      </c>
      <c r="J1008" s="95"/>
    </row>
    <row r="1009" spans="1:10" ht="13" x14ac:dyDescent="0.3">
      <c r="A1009" s="91"/>
      <c r="B1009" s="74"/>
      <c r="C1009" s="74"/>
      <c r="D1009" s="74"/>
      <c r="E1009" s="74"/>
      <c r="F1009" s="74"/>
      <c r="G1009" s="74"/>
      <c r="H1009" s="112">
        <v>1.6556291390728477E-3</v>
      </c>
      <c r="I1009" s="112">
        <f>+(I1008-H1008)/H1008</f>
        <v>-0.32644628099173556</v>
      </c>
      <c r="J1009" s="113"/>
    </row>
    <row r="1010" spans="1:10" ht="13" x14ac:dyDescent="0.3">
      <c r="A1010" s="91"/>
      <c r="B1010" s="74"/>
      <c r="C1010" s="74"/>
      <c r="D1010" s="74"/>
      <c r="E1010" s="74"/>
      <c r="F1010" s="74"/>
      <c r="G1010" s="74"/>
      <c r="H1010" s="112"/>
      <c r="I1010" s="112"/>
      <c r="J1010" s="113"/>
    </row>
    <row r="1011" spans="1:10" ht="30" customHeight="1" x14ac:dyDescent="0.3">
      <c r="A1011" s="91"/>
      <c r="B1011" s="940" t="s">
        <v>532</v>
      </c>
      <c r="C1011" s="941"/>
      <c r="D1011" s="941"/>
      <c r="E1011" s="941"/>
      <c r="F1011" s="941"/>
      <c r="G1011" s="942"/>
      <c r="H1011" s="84"/>
      <c r="I1011" s="84"/>
      <c r="J1011" s="95"/>
    </row>
    <row r="1012" spans="1:10" ht="18" customHeight="1" x14ac:dyDescent="0.3">
      <c r="A1012" s="91"/>
      <c r="B1012" s="74"/>
      <c r="C1012" s="74"/>
      <c r="D1012" s="74"/>
      <c r="E1012" s="74"/>
      <c r="F1012" s="74"/>
      <c r="G1012" s="74"/>
      <c r="H1012" s="103" t="str">
        <f>+'Unit tariffs'!$F$11</f>
        <v>2026/2027</v>
      </c>
      <c r="I1012" s="103" t="str">
        <f>+'Unit tariffs'!$F$11</f>
        <v>2026/2027</v>
      </c>
      <c r="J1012" s="95"/>
    </row>
    <row r="1013" spans="1:10" ht="28.25" customHeight="1" x14ac:dyDescent="0.3">
      <c r="A1013" s="91"/>
      <c r="B1013" s="104" t="s">
        <v>316</v>
      </c>
      <c r="C1013" s="74"/>
      <c r="D1013" s="74"/>
      <c r="E1013" s="74"/>
      <c r="F1013" s="74"/>
      <c r="G1013" s="74"/>
      <c r="H1013" s="188"/>
      <c r="I1013" s="188"/>
      <c r="J1013" s="95"/>
    </row>
    <row r="1014" spans="1:10" ht="13" x14ac:dyDescent="0.3">
      <c r="A1014" s="91"/>
      <c r="B1014" s="74"/>
      <c r="C1014" s="74"/>
      <c r="D1014" s="74"/>
      <c r="E1014" s="74"/>
      <c r="F1014" s="74"/>
      <c r="G1014" s="74"/>
      <c r="H1014" s="74"/>
      <c r="I1014" s="74"/>
      <c r="J1014" s="444" t="s">
        <v>313</v>
      </c>
    </row>
    <row r="1015" spans="1:10" ht="13" x14ac:dyDescent="0.3">
      <c r="A1015" s="91"/>
      <c r="B1015" s="74">
        <v>1</v>
      </c>
      <c r="C1015" s="74" t="s">
        <v>9</v>
      </c>
      <c r="D1015" s="74"/>
      <c r="E1015" s="74"/>
      <c r="F1015" s="74"/>
      <c r="G1015" s="74"/>
      <c r="H1015" s="76">
        <v>4047.0136257390277</v>
      </c>
      <c r="I1015" s="76">
        <f>VLOOKUP($C1015,'Unit tariffs'!$B$21:$F$123,5,FALSE)*$B1015</f>
        <v>7172.5886973999995</v>
      </c>
      <c r="J1015" s="457" t="e">
        <f>IF(+I1015*'Unit tariffs'!#REF!&gt;'Unit tariffs'!#REF!,'Unit tariffs'!#REF!,+I1015*'Unit tariffs'!#REF!)</f>
        <v>#REF!</v>
      </c>
    </row>
    <row r="1016" spans="1:10" ht="13" x14ac:dyDescent="0.3">
      <c r="A1016" s="91"/>
      <c r="B1016" s="74">
        <v>1</v>
      </c>
      <c r="C1016" s="74" t="s">
        <v>229</v>
      </c>
      <c r="D1016" s="74"/>
      <c r="E1016" s="74"/>
      <c r="F1016" s="74"/>
      <c r="G1016" s="74"/>
      <c r="H1016" s="76">
        <v>7323.5537155157153</v>
      </c>
      <c r="I1016" s="76">
        <f>VLOOKUP($C1016,'Unit tariffs'!$B$21:$F$123,5,FALSE)*$B1016</f>
        <v>0</v>
      </c>
      <c r="J1016" s="457" t="e">
        <f>IF(+I1016*'Unit tariffs'!#REF!&gt;'Unit tariffs'!#REF!,'Unit tariffs'!#REF!,+I1016*'Unit tariffs'!#REF!)</f>
        <v>#REF!</v>
      </c>
    </row>
    <row r="1017" spans="1:10" ht="13" x14ac:dyDescent="0.3">
      <c r="A1017" s="91"/>
      <c r="B1017" s="74">
        <v>3</v>
      </c>
      <c r="C1017" s="74" t="s">
        <v>99</v>
      </c>
      <c r="D1017" s="74"/>
      <c r="E1017" s="74"/>
      <c r="F1017" s="74"/>
      <c r="G1017" s="74"/>
      <c r="H1017" s="76">
        <v>587.413658244972</v>
      </c>
      <c r="I1017" s="76">
        <f>VLOOKUP($C1017,'Unit tariffs'!$B$21:$F$123,5,FALSE)*$B1017</f>
        <v>0</v>
      </c>
      <c r="J1017" s="457" t="e">
        <f>IF(+I1017*'Unit tariffs'!#REF!&gt;'Unit tariffs'!#REF!,'Unit tariffs'!#REF!,+I1017*'Unit tariffs'!#REF!)</f>
        <v>#REF!</v>
      </c>
    </row>
    <row r="1018" spans="1:10" ht="13" x14ac:dyDescent="0.3">
      <c r="A1018" s="91"/>
      <c r="B1018" s="74">
        <v>20</v>
      </c>
      <c r="C1018" s="74" t="s">
        <v>11</v>
      </c>
      <c r="D1018" s="74"/>
      <c r="E1018" s="74"/>
      <c r="F1018" s="74"/>
      <c r="G1018" s="74"/>
      <c r="H1018" s="76">
        <v>1768.6153977426718</v>
      </c>
      <c r="I1018" s="76">
        <f>VLOOKUP($C1018,'Unit tariffs'!$B$21:$F$123,5,FALSE)*$B1018</f>
        <v>8298.2279519999993</v>
      </c>
      <c r="J1018" s="457" t="e">
        <f>IF(+I1018*'Unit tariffs'!#REF!&gt;'Unit tariffs'!#REF!,'Unit tariffs'!#REF!,+I1018*'Unit tariffs'!#REF!)</f>
        <v>#REF!</v>
      </c>
    </row>
    <row r="1019" spans="1:10" ht="13" x14ac:dyDescent="0.3">
      <c r="A1019" s="91"/>
      <c r="B1019" s="74">
        <v>8</v>
      </c>
      <c r="C1019" s="74" t="s">
        <v>454</v>
      </c>
      <c r="D1019" s="74"/>
      <c r="E1019" s="74"/>
      <c r="F1019" s="74"/>
      <c r="G1019" s="74"/>
      <c r="H1019" s="76">
        <v>27.806563703904001</v>
      </c>
      <c r="I1019" s="76">
        <f>VLOOKUP($C1019,'Unit tariffs'!$B$21:$F$123,5,FALSE)*$B1019</f>
        <v>2530.9595253599996</v>
      </c>
      <c r="J1019" s="457" t="e">
        <f>IF(+I1019*'Unit tariffs'!#REF!&gt;'Unit tariffs'!#REF!,'Unit tariffs'!#REF!,+I1019*'Unit tariffs'!#REF!)</f>
        <v>#REF!</v>
      </c>
    </row>
    <row r="1020" spans="1:10" ht="13.25" customHeight="1" x14ac:dyDescent="0.3">
      <c r="A1020" s="91"/>
      <c r="B1020" s="74">
        <v>3</v>
      </c>
      <c r="C1020" s="74" t="s">
        <v>453</v>
      </c>
      <c r="D1020" s="74"/>
      <c r="E1020" s="74"/>
      <c r="F1020" s="74"/>
      <c r="G1020" s="74"/>
      <c r="H1020" s="76">
        <v>912.00918708000017</v>
      </c>
      <c r="I1020" s="76">
        <f>VLOOKUP($C1020,'Unit tariffs'!$B$21:$F$123,5,FALSE)*$B1020</f>
        <v>106.27019865</v>
      </c>
      <c r="J1020" s="457" t="e">
        <f>IF(+I1020*'Unit tariffs'!#REF!&gt;'Unit tariffs'!#REF!,'Unit tariffs'!#REF!,+I1020*'Unit tariffs'!#REF!)</f>
        <v>#REF!</v>
      </c>
    </row>
    <row r="1021" spans="1:10" ht="13" x14ac:dyDescent="0.3">
      <c r="A1021" s="91"/>
      <c r="B1021" s="74">
        <v>1</v>
      </c>
      <c r="C1021" s="74" t="s">
        <v>17</v>
      </c>
      <c r="D1021" s="74"/>
      <c r="E1021" s="74"/>
      <c r="F1021" s="74"/>
      <c r="G1021" s="74"/>
      <c r="H1021" s="76">
        <v>271.44100000000003</v>
      </c>
      <c r="I1021" s="76">
        <f>VLOOKUP($C1021,'Unit tariffs'!$B$21:$F$123,5,FALSE)*$B1021</f>
        <v>282.48325</v>
      </c>
      <c r="J1021" s="457" t="e">
        <f>IF(+I1021*'Unit tariffs'!#REF!&gt;'Unit tariffs'!#REF!,'Unit tariffs'!#REF!,+I1021*'Unit tariffs'!#REF!)</f>
        <v>#REF!</v>
      </c>
    </row>
    <row r="1022" spans="1:10" ht="13" x14ac:dyDescent="0.3">
      <c r="A1022" s="91"/>
      <c r="B1022" s="74">
        <v>2</v>
      </c>
      <c r="C1022" s="74" t="s">
        <v>189</v>
      </c>
      <c r="D1022" s="74"/>
      <c r="E1022" s="74"/>
      <c r="F1022" s="74"/>
      <c r="G1022" s="74"/>
      <c r="H1022" s="81">
        <v>377.84587199999999</v>
      </c>
      <c r="I1022" s="81">
        <f>VLOOKUP($C1022,'Unit tariffs'!$B$21:$F$123,5,FALSE)*$B1022</f>
        <v>0</v>
      </c>
      <c r="J1022" s="457" t="e">
        <f>IF(+I1022*'Unit tariffs'!#REF!&gt;'Unit tariffs'!#REF!,'Unit tariffs'!#REF!,+I1022*'Unit tariffs'!#REF!)</f>
        <v>#REF!</v>
      </c>
    </row>
    <row r="1023" spans="1:10" ht="13" x14ac:dyDescent="0.3">
      <c r="A1023" s="91"/>
      <c r="B1023" s="74"/>
      <c r="C1023" s="74"/>
      <c r="D1023" s="74"/>
      <c r="E1023" s="74"/>
      <c r="F1023" s="74"/>
      <c r="G1023" s="76"/>
      <c r="H1023" s="76">
        <v>15315.699020026292</v>
      </c>
      <c r="I1023" s="76">
        <f>SUM(I1015:I1022)</f>
        <v>18390.529623409999</v>
      </c>
      <c r="J1023" s="105"/>
    </row>
    <row r="1024" spans="1:10" ht="13" x14ac:dyDescent="0.3">
      <c r="A1024" s="91"/>
      <c r="B1024" s="104" t="s">
        <v>337</v>
      </c>
      <c r="C1024" s="74"/>
      <c r="D1024" s="74"/>
      <c r="E1024" s="74"/>
      <c r="F1024" s="74"/>
      <c r="G1024" s="74"/>
      <c r="H1024" s="74"/>
      <c r="I1024" s="74"/>
      <c r="J1024" s="105"/>
    </row>
    <row r="1025" spans="1:10" ht="13" x14ac:dyDescent="0.3">
      <c r="A1025" s="91"/>
      <c r="B1025" s="74">
        <v>1</v>
      </c>
      <c r="C1025" s="74" t="str">
        <f>'Unit tariffs'!B$87</f>
        <v xml:space="preserve">hour-artisan </v>
      </c>
      <c r="D1025" s="74"/>
      <c r="E1025" s="74"/>
      <c r="F1025" s="74"/>
      <c r="G1025" s="74"/>
      <c r="H1025" s="76">
        <v>322.85223173076923</v>
      </c>
      <c r="I1025" s="76">
        <f>VLOOKUP($C1025,'Unit tariffs'!$B$21:$F$123,5,FALSE)*$B1025</f>
        <v>351.19276615384621</v>
      </c>
      <c r="J1025" s="105"/>
    </row>
    <row r="1026" spans="1:10" ht="13" x14ac:dyDescent="0.3">
      <c r="A1026" s="91"/>
      <c r="B1026" s="74">
        <v>2</v>
      </c>
      <c r="C1026" s="74" t="str">
        <f>'Unit tariffs'!B$85</f>
        <v>hour-artisan assistant</v>
      </c>
      <c r="D1026" s="74"/>
      <c r="E1026" s="74"/>
      <c r="F1026" s="74"/>
      <c r="G1026" s="74"/>
      <c r="H1026" s="81">
        <v>257.07161538461543</v>
      </c>
      <c r="I1026" s="81">
        <f>VLOOKUP($C1026,'Unit tariffs'!$B$21:$F$123,5,FALSE)*$B1026</f>
        <v>279.64851692307695</v>
      </c>
      <c r="J1026" s="95"/>
    </row>
    <row r="1027" spans="1:10" ht="13" x14ac:dyDescent="0.3">
      <c r="A1027" s="91"/>
      <c r="H1027" s="76">
        <v>579.92384711538466</v>
      </c>
      <c r="I1027" s="76">
        <f>SUM(I1025:I1026)</f>
        <v>630.84128307692322</v>
      </c>
      <c r="J1027" s="95"/>
    </row>
    <row r="1028" spans="1:10" ht="13" x14ac:dyDescent="0.3">
      <c r="A1028" s="91"/>
      <c r="B1028" s="104" t="s">
        <v>336</v>
      </c>
      <c r="C1028" s="74"/>
      <c r="D1028" s="74"/>
      <c r="E1028" s="74"/>
      <c r="F1028" s="74"/>
      <c r="G1028" s="74"/>
      <c r="H1028" s="74"/>
      <c r="I1028" s="74"/>
      <c r="J1028" s="95"/>
    </row>
    <row r="1029" spans="1:10" ht="13" x14ac:dyDescent="0.3">
      <c r="A1029" s="91"/>
      <c r="B1029" s="74">
        <v>2</v>
      </c>
      <c r="C1029" s="74" t="str">
        <f>'Unit tariffs'!B$87</f>
        <v xml:space="preserve">hour-artisan </v>
      </c>
      <c r="D1029" s="74"/>
      <c r="E1029" s="74"/>
      <c r="F1029" s="74"/>
      <c r="G1029" s="74"/>
      <c r="H1029" s="76">
        <v>645.70446346153847</v>
      </c>
      <c r="I1029" s="76">
        <f>VLOOKUP($C1029,'Unit tariffs'!$B$21:$F$123,5,FALSE)*$B1029</f>
        <v>702.38553230769242</v>
      </c>
      <c r="J1029" s="105"/>
    </row>
    <row r="1030" spans="1:10" ht="13" x14ac:dyDescent="0.3">
      <c r="A1030" s="91"/>
      <c r="B1030" s="74">
        <v>4</v>
      </c>
      <c r="C1030" s="74" t="str">
        <f>'Unit tariffs'!B$85</f>
        <v>hour-artisan assistant</v>
      </c>
      <c r="D1030" s="74"/>
      <c r="E1030" s="74"/>
      <c r="F1030" s="74"/>
      <c r="G1030" s="74"/>
      <c r="H1030" s="81">
        <v>514.14323076923085</v>
      </c>
      <c r="I1030" s="81">
        <f>VLOOKUP($C1030,'Unit tariffs'!$B$21:$F$123,5,FALSE)*$B1030</f>
        <v>559.29703384615391</v>
      </c>
      <c r="J1030" s="105"/>
    </row>
    <row r="1031" spans="1:10" ht="13" x14ac:dyDescent="0.3">
      <c r="A1031" s="91"/>
      <c r="B1031" s="74"/>
      <c r="C1031" s="74"/>
      <c r="D1031" s="74"/>
      <c r="E1031" s="74"/>
      <c r="F1031" s="74"/>
      <c r="G1031" s="74"/>
      <c r="H1031" s="76">
        <v>1159.8476942307693</v>
      </c>
      <c r="I1031" s="76">
        <f>SUM(I1029:I1030)</f>
        <v>1261.6825661538464</v>
      </c>
      <c r="J1031" s="105"/>
    </row>
    <row r="1032" spans="1:10" ht="13" x14ac:dyDescent="0.3">
      <c r="A1032" s="91"/>
      <c r="B1032" s="74"/>
      <c r="C1032" s="74"/>
      <c r="D1032" s="74"/>
      <c r="E1032" s="74"/>
      <c r="F1032" s="74"/>
      <c r="G1032" s="74"/>
      <c r="H1032" s="76"/>
      <c r="I1032" s="76"/>
      <c r="J1032" s="95"/>
    </row>
    <row r="1033" spans="1:10" ht="13" x14ac:dyDescent="0.3">
      <c r="A1033" s="91"/>
      <c r="B1033" s="104" t="s">
        <v>335</v>
      </c>
      <c r="C1033" s="74"/>
      <c r="D1033" s="74"/>
      <c r="E1033" s="74"/>
      <c r="F1033" s="74"/>
      <c r="G1033" s="74"/>
      <c r="H1033" s="74"/>
      <c r="I1033" s="74"/>
      <c r="J1033" s="95"/>
    </row>
    <row r="1034" spans="1:10" ht="13" x14ac:dyDescent="0.3">
      <c r="A1034" s="91"/>
      <c r="B1034" s="74">
        <v>24</v>
      </c>
      <c r="C1034" s="74" t="str">
        <f>'Unit tariffs'!B$111</f>
        <v>km-truck with platform</v>
      </c>
      <c r="D1034" s="74"/>
      <c r="E1034" s="74"/>
      <c r="F1034" s="74"/>
      <c r="G1034" s="74"/>
      <c r="H1034" s="76">
        <v>1010.8920834182238</v>
      </c>
      <c r="I1034" s="76">
        <f>VLOOKUP($C1034,'Unit tariffs'!$B$21:$F$123,5,FALSE)*$B1034</f>
        <v>1182.7997218118533</v>
      </c>
      <c r="J1034" s="105"/>
    </row>
    <row r="1035" spans="1:10" ht="13" x14ac:dyDescent="0.3">
      <c r="A1035" s="91"/>
      <c r="B1035" s="74">
        <f>+B1029</f>
        <v>2</v>
      </c>
      <c r="C1035" s="74" t="str">
        <f>'Unit tariffs'!B$112</f>
        <v>hour-truck with platform</v>
      </c>
      <c r="D1035" s="74"/>
      <c r="E1035" s="74"/>
      <c r="F1035" s="74"/>
      <c r="G1035" s="74"/>
      <c r="H1035" s="81">
        <v>409.96883462334625</v>
      </c>
      <c r="I1035" s="81">
        <f>VLOOKUP($C1035,'Unit tariffs'!$B$21:$F$123,5,FALSE)*$B1035</f>
        <v>479.6862409925584</v>
      </c>
      <c r="J1035" s="105"/>
    </row>
    <row r="1036" spans="1:10" ht="13" x14ac:dyDescent="0.3">
      <c r="A1036" s="91"/>
      <c r="B1036" s="74"/>
      <c r="C1036" s="74"/>
      <c r="D1036" s="74"/>
      <c r="E1036" s="74"/>
      <c r="F1036" s="74"/>
      <c r="G1036" s="74"/>
      <c r="H1036" s="137">
        <v>1420.8609180415701</v>
      </c>
      <c r="I1036" s="137">
        <f>SUM(I1034:I1035)</f>
        <v>1662.4859628044117</v>
      </c>
      <c r="J1036" s="105"/>
    </row>
    <row r="1037" spans="1:10" ht="13" x14ac:dyDescent="0.3">
      <c r="A1037" s="91"/>
      <c r="B1037" s="104" t="s">
        <v>334</v>
      </c>
      <c r="C1037" s="74"/>
      <c r="D1037" s="74"/>
      <c r="E1037" s="74"/>
      <c r="F1037" s="74"/>
      <c r="G1037" s="74"/>
      <c r="H1037" s="76"/>
      <c r="I1037" s="76"/>
      <c r="J1037" s="105"/>
    </row>
    <row r="1038" spans="1:10" ht="13" x14ac:dyDescent="0.3">
      <c r="A1038" s="91"/>
      <c r="B1038" s="104"/>
      <c r="C1038" s="74"/>
      <c r="D1038" s="74"/>
      <c r="E1038" s="74"/>
      <c r="F1038" s="74"/>
      <c r="G1038" s="74"/>
      <c r="H1038" s="76"/>
      <c r="I1038" s="76"/>
      <c r="J1038" s="105"/>
    </row>
    <row r="1039" spans="1:10" s="709" customFormat="1" ht="13" x14ac:dyDescent="0.3">
      <c r="A1039" s="714"/>
      <c r="B1039" s="85">
        <v>12</v>
      </c>
      <c r="C1039" s="85" t="str">
        <f>'Unit tariffs'!B98</f>
        <v>m trench 0.6 m deep, Dig &amp; Backfill (Internal)</v>
      </c>
      <c r="D1039" s="85"/>
      <c r="E1039" s="85"/>
      <c r="F1039" s="85"/>
      <c r="G1039" s="85"/>
      <c r="H1039" s="188">
        <v>3947.0446430769234</v>
      </c>
      <c r="I1039" s="188">
        <f>VLOOKUP($C1039,'Unit tariffs'!$B$21:$F$123,5,FALSE)*$B1039</f>
        <v>4346.2028381538466</v>
      </c>
      <c r="J1039" s="744"/>
    </row>
    <row r="1040" spans="1:10" s="709" customFormat="1" ht="13" x14ac:dyDescent="0.3">
      <c r="A1040" s="714"/>
      <c r="B1040" s="85">
        <v>3</v>
      </c>
      <c r="C1040" s="85" t="str">
        <f>'Unit tariffs'!B99</f>
        <v>m Additional rock per sqm (Internal)</v>
      </c>
      <c r="D1040" s="85"/>
      <c r="E1040" s="85"/>
      <c r="F1040" s="85"/>
      <c r="G1040" s="85"/>
      <c r="H1040" s="708">
        <v>5782.8653723076932</v>
      </c>
      <c r="I1040" s="708">
        <f>VLOOKUP($C1040,'Unit tariffs'!$B$21:$F$123,5,FALSE)*$B1040</f>
        <v>6428.129729538462</v>
      </c>
      <c r="J1040" s="744"/>
    </row>
    <row r="1041" spans="1:11" ht="13.5" thickBot="1" x14ac:dyDescent="0.35">
      <c r="A1041" s="91"/>
      <c r="B1041" s="74"/>
      <c r="C1041" s="74"/>
      <c r="D1041" s="74"/>
      <c r="E1041" s="74"/>
      <c r="F1041" s="74"/>
      <c r="G1041" s="76"/>
      <c r="H1041" s="107">
        <v>9729.9100153846157</v>
      </c>
      <c r="I1041" s="107">
        <f>SUM(I1039:I1040)</f>
        <v>10774.332567692309</v>
      </c>
      <c r="J1041" s="105"/>
    </row>
    <row r="1042" spans="1:11" ht="13.5" thickTop="1" x14ac:dyDescent="0.3">
      <c r="A1042" s="91"/>
      <c r="B1042" s="74"/>
      <c r="C1042" s="74"/>
      <c r="D1042" s="74"/>
      <c r="E1042" s="74"/>
      <c r="F1042" s="74"/>
      <c r="G1042" s="76"/>
      <c r="H1042" s="76">
        <v>28206.241494798633</v>
      </c>
      <c r="I1042" s="76">
        <f>I1041+I1036+I1031+I1027+I1023</f>
        <v>32719.872003137491</v>
      </c>
      <c r="J1042" s="105"/>
    </row>
    <row r="1043" spans="1:11" ht="13.5" thickBot="1" x14ac:dyDescent="0.35">
      <c r="A1043" s="91"/>
      <c r="B1043" s="104" t="str">
        <f>'Unit tariffs'!$B$7</f>
        <v>Administration Levy (Indirect Cost)</v>
      </c>
      <c r="C1043" s="74"/>
      <c r="D1043" s="106">
        <f>'Unit tariffs'!$C$7</f>
        <v>0.1</v>
      </c>
      <c r="E1043" s="74" t="s">
        <v>311</v>
      </c>
      <c r="F1043" s="186">
        <f>+'Unit tariffs'!$F$7</f>
        <v>10000</v>
      </c>
      <c r="G1043" s="76"/>
      <c r="H1043" s="108">
        <v>972.99100153846166</v>
      </c>
      <c r="I1043" s="108">
        <f>IF(I1041*$D1043&gt;='Unit tariffs'!$E$7,'Unit tariffs'!$E$7,I1041*$D1043)</f>
        <v>1077.4332567692309</v>
      </c>
      <c r="J1043" s="95"/>
    </row>
    <row r="1044" spans="1:11" ht="13.5" thickTop="1" x14ac:dyDescent="0.3">
      <c r="A1044" s="91"/>
      <c r="B1044" s="104" t="s">
        <v>44</v>
      </c>
      <c r="C1044" s="74"/>
      <c r="D1044" s="74"/>
      <c r="E1044" s="74"/>
      <c r="F1044" s="74"/>
      <c r="G1044" s="76"/>
      <c r="H1044" s="109">
        <v>38909.142511721708</v>
      </c>
      <c r="I1044" s="109">
        <f>SUM(I1041:I1043)</f>
        <v>44571.637827599028</v>
      </c>
      <c r="J1044" s="110"/>
    </row>
    <row r="1045" spans="1:11" ht="13" x14ac:dyDescent="0.3">
      <c r="A1045" s="91"/>
      <c r="B1045" s="104"/>
      <c r="C1045" s="74"/>
      <c r="D1045" s="74"/>
      <c r="E1045" s="74"/>
      <c r="F1045" s="74"/>
      <c r="G1045" s="76"/>
      <c r="H1045" s="76"/>
      <c r="I1045" s="76"/>
      <c r="J1045" s="110"/>
    </row>
    <row r="1046" spans="1:11" ht="13" x14ac:dyDescent="0.3">
      <c r="A1046" s="91"/>
      <c r="B1046" s="74"/>
      <c r="C1046" s="74"/>
      <c r="D1046" s="74"/>
      <c r="E1046" s="74"/>
      <c r="F1046" s="74"/>
      <c r="G1046" s="74"/>
      <c r="H1046" s="648">
        <v>38910</v>
      </c>
      <c r="I1046" s="648">
        <f>ROUND(I1044,-1)</f>
        <v>44570</v>
      </c>
      <c r="J1046" s="105"/>
      <c r="K1046" s="111"/>
    </row>
    <row r="1047" spans="1:11" ht="13" x14ac:dyDescent="0.3">
      <c r="A1047" s="91"/>
      <c r="B1047" s="74"/>
      <c r="C1047" s="74"/>
      <c r="D1047" s="74"/>
      <c r="E1047" s="74"/>
      <c r="F1047" s="74"/>
      <c r="G1047" s="74"/>
      <c r="H1047" s="112">
        <v>0</v>
      </c>
      <c r="I1047" s="112">
        <f>+(I1046-H1046)/H1046</f>
        <v>0.14546389103058341</v>
      </c>
      <c r="J1047" s="113"/>
    </row>
    <row r="1048" spans="1:11" ht="13" x14ac:dyDescent="0.3">
      <c r="A1048" s="91"/>
      <c r="B1048" s="342"/>
      <c r="C1048" s="342"/>
      <c r="D1048" s="342"/>
      <c r="E1048" s="342"/>
      <c r="F1048" s="342"/>
      <c r="G1048" s="342"/>
      <c r="H1048" s="112"/>
      <c r="I1048" s="112"/>
      <c r="J1048" s="95"/>
    </row>
    <row r="1049" spans="1:11" ht="38.4" customHeight="1" x14ac:dyDescent="0.3">
      <c r="A1049" s="91"/>
      <c r="B1049" s="940" t="s">
        <v>534</v>
      </c>
      <c r="C1049" s="941"/>
      <c r="D1049" s="941"/>
      <c r="E1049" s="941"/>
      <c r="F1049" s="941"/>
      <c r="G1049" s="942"/>
      <c r="H1049" s="76"/>
      <c r="I1049" s="76"/>
      <c r="J1049" s="95"/>
    </row>
    <row r="1050" spans="1:11" ht="13" x14ac:dyDescent="0.3">
      <c r="A1050" s="91"/>
      <c r="B1050" s="74"/>
      <c r="C1050" s="74"/>
      <c r="D1050" s="74"/>
      <c r="E1050" s="74"/>
      <c r="F1050" s="74"/>
      <c r="G1050" s="74"/>
      <c r="H1050" s="103" t="str">
        <f>+'Unit tariffs'!$F$11</f>
        <v>2026/2027</v>
      </c>
      <c r="I1050" s="103" t="str">
        <f>+'Unit tariffs'!$F$11</f>
        <v>2026/2027</v>
      </c>
      <c r="J1050" s="95"/>
    </row>
    <row r="1051" spans="1:11" ht="13" x14ac:dyDescent="0.3">
      <c r="A1051" s="91"/>
      <c r="B1051" s="104" t="s">
        <v>535</v>
      </c>
      <c r="C1051" s="74"/>
      <c r="D1051" s="74"/>
      <c r="E1051" s="74"/>
      <c r="F1051" s="74"/>
      <c r="G1051" s="74"/>
      <c r="H1051" s="74"/>
      <c r="I1051" s="74"/>
      <c r="J1051" s="95"/>
    </row>
    <row r="1052" spans="1:11" ht="33" customHeight="1" x14ac:dyDescent="0.3">
      <c r="A1052" s="91"/>
      <c r="B1052" s="74"/>
      <c r="C1052" s="74"/>
      <c r="D1052" s="74"/>
      <c r="E1052" s="74"/>
      <c r="F1052" s="74"/>
      <c r="G1052" s="74"/>
      <c r="H1052" s="74"/>
      <c r="I1052" s="74"/>
      <c r="J1052" s="444" t="s">
        <v>313</v>
      </c>
    </row>
    <row r="1053" spans="1:11" ht="13" x14ac:dyDescent="0.3">
      <c r="A1053" s="91"/>
      <c r="B1053" s="74">
        <v>1</v>
      </c>
      <c r="C1053" s="74" t="s">
        <v>9</v>
      </c>
      <c r="D1053" s="74"/>
      <c r="E1053" s="74"/>
      <c r="F1053" s="74"/>
      <c r="G1053" s="74"/>
      <c r="H1053" s="76">
        <v>4047.0136257390277</v>
      </c>
      <c r="I1053" s="76">
        <f>VLOOKUP($C1053,'Unit tariffs'!$B$21:$F$123,5,FALSE)*$B1053</f>
        <v>7172.5886973999995</v>
      </c>
      <c r="J1053" s="457" t="e">
        <f>IF(+I1053*'Unit tariffs'!#REF!&gt;'Unit tariffs'!#REF!,'Unit tariffs'!#REF!,+I1053*'Unit tariffs'!#REF!)</f>
        <v>#REF!</v>
      </c>
    </row>
    <row r="1054" spans="1:11" ht="13" x14ac:dyDescent="0.3">
      <c r="A1054" s="91"/>
      <c r="B1054" s="74">
        <v>1</v>
      </c>
      <c r="C1054" s="74" t="s">
        <v>229</v>
      </c>
      <c r="D1054" s="74"/>
      <c r="E1054" s="74"/>
      <c r="F1054" s="74"/>
      <c r="G1054" s="74"/>
      <c r="H1054" s="76">
        <v>7323.5537155157153</v>
      </c>
      <c r="I1054" s="76">
        <f>VLOOKUP($C1054,'Unit tariffs'!$B$21:$F$123,5,FALSE)*$B1054</f>
        <v>0</v>
      </c>
      <c r="J1054" s="457" t="e">
        <f>IF(+I1054*'Unit tariffs'!#REF!&gt;'Unit tariffs'!#REF!,'Unit tariffs'!#REF!,+I1054*'Unit tariffs'!#REF!)</f>
        <v>#REF!</v>
      </c>
    </row>
    <row r="1055" spans="1:11" ht="13" x14ac:dyDescent="0.3">
      <c r="A1055" s="91"/>
      <c r="B1055" s="74">
        <v>3</v>
      </c>
      <c r="C1055" s="74" t="s">
        <v>99</v>
      </c>
      <c r="D1055" s="74"/>
      <c r="E1055" s="74"/>
      <c r="F1055" s="74"/>
      <c r="G1055" s="74"/>
      <c r="H1055" s="76">
        <v>587.413658244972</v>
      </c>
      <c r="I1055" s="76">
        <f>VLOOKUP($C1055,'Unit tariffs'!$B$21:$F$123,5,FALSE)*$B1055</f>
        <v>0</v>
      </c>
      <c r="J1055" s="457" t="e">
        <f>IF(+I1055*'Unit tariffs'!#REF!&gt;'Unit tariffs'!#REF!,'Unit tariffs'!#REF!,+I1055*'Unit tariffs'!#REF!)</f>
        <v>#REF!</v>
      </c>
    </row>
    <row r="1056" spans="1:11" ht="13" x14ac:dyDescent="0.3">
      <c r="A1056" s="91"/>
      <c r="B1056" s="74">
        <v>12</v>
      </c>
      <c r="C1056" s="74" t="s">
        <v>11</v>
      </c>
      <c r="D1056" s="74"/>
      <c r="E1056" s="74"/>
      <c r="F1056" s="74"/>
      <c r="G1056" s="74"/>
      <c r="H1056" s="76">
        <v>1061.1692386456032</v>
      </c>
      <c r="I1056" s="76">
        <f>VLOOKUP($C1056,'Unit tariffs'!$B$21:$F$123,5,FALSE)*$B1056</f>
        <v>4978.9367711999994</v>
      </c>
      <c r="J1056" s="457" t="e">
        <f>IF(+I1056*'Unit tariffs'!#REF!&gt;'Unit tariffs'!#REF!,'Unit tariffs'!#REF!,+I1056*'Unit tariffs'!#REF!)</f>
        <v>#REF!</v>
      </c>
    </row>
    <row r="1057" spans="1:10" ht="13" x14ac:dyDescent="0.3">
      <c r="A1057" s="91"/>
      <c r="B1057" s="74">
        <v>8</v>
      </c>
      <c r="C1057" s="3" t="s">
        <v>454</v>
      </c>
      <c r="D1057" s="74"/>
      <c r="E1057" s="74"/>
      <c r="F1057" s="74"/>
      <c r="G1057" s="74"/>
      <c r="H1057" s="76">
        <v>27.806563703904001</v>
      </c>
      <c r="I1057" s="76">
        <f>VLOOKUP($C1057,'Unit tariffs'!$B$21:$F$123,5,FALSE)*$B1057</f>
        <v>2530.9595253599996</v>
      </c>
      <c r="J1057" s="457" t="e">
        <f>IF(+I1057*'Unit tariffs'!#REF!&gt;'Unit tariffs'!#REF!,'Unit tariffs'!#REF!,+I1057*'Unit tariffs'!#REF!)</f>
        <v>#REF!</v>
      </c>
    </row>
    <row r="1058" spans="1:10" ht="13" x14ac:dyDescent="0.3">
      <c r="A1058" s="91"/>
      <c r="B1058" s="74">
        <v>3</v>
      </c>
      <c r="C1058" s="3" t="s">
        <v>453</v>
      </c>
      <c r="D1058" s="74"/>
      <c r="E1058" s="74"/>
      <c r="F1058" s="74"/>
      <c r="G1058" s="74"/>
      <c r="H1058" s="76">
        <v>912.00918708000017</v>
      </c>
      <c r="I1058" s="76">
        <f>VLOOKUP($C1058,'Unit tariffs'!$B$21:$F$123,5,FALSE)*$B1058</f>
        <v>106.27019865</v>
      </c>
      <c r="J1058" s="457" t="e">
        <f>IF(+I1058*'Unit tariffs'!#REF!&gt;'Unit tariffs'!#REF!,'Unit tariffs'!#REF!,+I1058*'Unit tariffs'!#REF!)</f>
        <v>#REF!</v>
      </c>
    </row>
    <row r="1059" spans="1:10" ht="13" x14ac:dyDescent="0.3">
      <c r="A1059" s="91"/>
      <c r="B1059" s="74">
        <v>1</v>
      </c>
      <c r="C1059" s="74" t="s">
        <v>17</v>
      </c>
      <c r="D1059" s="74"/>
      <c r="E1059" s="74"/>
      <c r="F1059" s="74"/>
      <c r="G1059" s="74"/>
      <c r="H1059" s="76">
        <v>271.44100000000003</v>
      </c>
      <c r="I1059" s="76">
        <f>VLOOKUP($C1059,'Unit tariffs'!$B$21:$F$123,5,FALSE)*$B1059</f>
        <v>282.48325</v>
      </c>
      <c r="J1059" s="457" t="e">
        <f>IF(+I1059*'Unit tariffs'!#REF!&gt;'Unit tariffs'!#REF!,'Unit tariffs'!#REF!,+I1059*'Unit tariffs'!#REF!)</f>
        <v>#REF!</v>
      </c>
    </row>
    <row r="1060" spans="1:10" ht="13" x14ac:dyDescent="0.3">
      <c r="A1060" s="91"/>
      <c r="B1060" s="74">
        <v>2</v>
      </c>
      <c r="C1060" s="74" t="s">
        <v>189</v>
      </c>
      <c r="D1060" s="74"/>
      <c r="E1060" s="74"/>
      <c r="F1060" s="74"/>
      <c r="G1060" s="74"/>
      <c r="H1060" s="81">
        <v>377.84587199999999</v>
      </c>
      <c r="I1060" s="81">
        <f>VLOOKUP($C1060,'Unit tariffs'!$B$21:$F$123,5,FALSE)*$B1060</f>
        <v>0</v>
      </c>
      <c r="J1060" s="457" t="e">
        <f>IF(+I1060*'Unit tariffs'!#REF!&gt;'Unit tariffs'!#REF!,'Unit tariffs'!#REF!,+I1060*'Unit tariffs'!#REF!)</f>
        <v>#REF!</v>
      </c>
    </row>
    <row r="1061" spans="1:10" ht="13" x14ac:dyDescent="0.3">
      <c r="A1061" s="91"/>
      <c r="B1061" s="74"/>
      <c r="C1061" s="74"/>
      <c r="D1061" s="74"/>
      <c r="E1061" s="74"/>
      <c r="F1061" s="74"/>
      <c r="G1061" s="76"/>
      <c r="H1061" s="76">
        <v>14608.252860929224</v>
      </c>
      <c r="I1061" s="76">
        <f>SUM(I1053:I1060)</f>
        <v>15071.238442609998</v>
      </c>
      <c r="J1061" s="95"/>
    </row>
    <row r="1062" spans="1:10" ht="13" x14ac:dyDescent="0.3">
      <c r="A1062" s="91"/>
      <c r="B1062" s="104" t="s">
        <v>59</v>
      </c>
      <c r="C1062" s="74"/>
      <c r="D1062" s="74"/>
      <c r="E1062" s="74"/>
      <c r="F1062" s="74"/>
      <c r="G1062" s="74"/>
      <c r="H1062" s="74"/>
      <c r="I1062" s="74"/>
      <c r="J1062" s="105"/>
    </row>
    <row r="1063" spans="1:10" ht="13" x14ac:dyDescent="0.3">
      <c r="A1063" s="91"/>
      <c r="B1063" s="74">
        <v>1</v>
      </c>
      <c r="C1063" s="74" t="str">
        <f>'Unit tariffs'!B$87</f>
        <v xml:space="preserve">hour-artisan </v>
      </c>
      <c r="D1063" s="74"/>
      <c r="E1063" s="74"/>
      <c r="F1063" s="74"/>
      <c r="G1063" s="74"/>
      <c r="H1063" s="76">
        <v>322.85223173076923</v>
      </c>
      <c r="I1063" s="76">
        <f>VLOOKUP($C1063,'Unit tariffs'!$B$21:$F$123,5,FALSE)*$B1063</f>
        <v>351.19276615384621</v>
      </c>
      <c r="J1063" s="105"/>
    </row>
    <row r="1064" spans="1:10" ht="13" x14ac:dyDescent="0.3">
      <c r="A1064" s="91"/>
      <c r="B1064" s="74">
        <v>2</v>
      </c>
      <c r="C1064" s="74" t="str">
        <f>'Unit tariffs'!B$85</f>
        <v>hour-artisan assistant</v>
      </c>
      <c r="D1064" s="74"/>
      <c r="E1064" s="74"/>
      <c r="F1064" s="74"/>
      <c r="G1064" s="74"/>
      <c r="H1064" s="81">
        <v>257.07161538461543</v>
      </c>
      <c r="I1064" s="81">
        <f>VLOOKUP($C1064,'Unit tariffs'!$B$21:$F$123,5,FALSE)*$B1064</f>
        <v>279.64851692307695</v>
      </c>
      <c r="J1064" s="105"/>
    </row>
    <row r="1065" spans="1:10" ht="13" x14ac:dyDescent="0.3">
      <c r="A1065" s="91"/>
      <c r="H1065" s="76">
        <v>579.92384711538466</v>
      </c>
      <c r="I1065" s="76">
        <f>SUM(I1063:I1064)</f>
        <v>630.84128307692322</v>
      </c>
      <c r="J1065" s="95"/>
    </row>
    <row r="1066" spans="1:10" ht="13" x14ac:dyDescent="0.3">
      <c r="A1066" s="91"/>
      <c r="B1066" s="104" t="s">
        <v>60</v>
      </c>
      <c r="C1066" s="74"/>
      <c r="D1066" s="74"/>
      <c r="E1066" s="74"/>
      <c r="F1066" s="74"/>
      <c r="G1066" s="74"/>
      <c r="H1066" s="74"/>
      <c r="I1066" s="74"/>
      <c r="J1066" s="95"/>
    </row>
    <row r="1067" spans="1:10" ht="13" x14ac:dyDescent="0.3">
      <c r="A1067" s="91"/>
      <c r="B1067" s="74">
        <v>2</v>
      </c>
      <c r="C1067" s="74" t="str">
        <f>'Unit tariffs'!B$87</f>
        <v xml:space="preserve">hour-artisan </v>
      </c>
      <c r="D1067" s="74"/>
      <c r="E1067" s="74"/>
      <c r="F1067" s="74"/>
      <c r="G1067" s="74"/>
      <c r="H1067" s="76">
        <v>645.70446346153847</v>
      </c>
      <c r="I1067" s="76">
        <f>VLOOKUP($C1067,'Unit tariffs'!$B$21:$F$123,5,FALSE)*$B1067</f>
        <v>702.38553230769242</v>
      </c>
      <c r="J1067" s="105"/>
    </row>
    <row r="1068" spans="1:10" ht="13" x14ac:dyDescent="0.3">
      <c r="A1068" s="91"/>
      <c r="B1068" s="74">
        <v>4</v>
      </c>
      <c r="C1068" s="74" t="str">
        <f>'Unit tariffs'!B$85</f>
        <v>hour-artisan assistant</v>
      </c>
      <c r="D1068" s="74"/>
      <c r="E1068" s="74"/>
      <c r="F1068" s="74"/>
      <c r="G1068" s="74"/>
      <c r="H1068" s="81">
        <v>514.14323076923085</v>
      </c>
      <c r="I1068" s="81">
        <f>VLOOKUP($C1068,'Unit tariffs'!$B$21:$F$123,5,FALSE)*$B1068</f>
        <v>559.29703384615391</v>
      </c>
      <c r="J1068" s="105"/>
    </row>
    <row r="1069" spans="1:10" ht="13" x14ac:dyDescent="0.3">
      <c r="A1069" s="91"/>
      <c r="B1069" s="74"/>
      <c r="C1069" s="74"/>
      <c r="D1069" s="74"/>
      <c r="E1069" s="74"/>
      <c r="F1069" s="74"/>
      <c r="G1069" s="74"/>
      <c r="H1069" s="76">
        <v>1159.8476942307693</v>
      </c>
      <c r="I1069" s="76">
        <f>SUM(I1067:I1068)</f>
        <v>1261.6825661538464</v>
      </c>
      <c r="J1069" s="105"/>
    </row>
    <row r="1070" spans="1:10" ht="13" x14ac:dyDescent="0.3">
      <c r="A1070" s="91"/>
      <c r="B1070" s="74"/>
      <c r="C1070" s="74"/>
      <c r="D1070" s="74"/>
      <c r="E1070" s="74"/>
      <c r="F1070" s="74"/>
      <c r="G1070" s="74"/>
      <c r="H1070" s="76"/>
      <c r="I1070" s="76"/>
      <c r="J1070" s="105"/>
    </row>
    <row r="1071" spans="1:10" ht="13" x14ac:dyDescent="0.3">
      <c r="A1071" s="91"/>
      <c r="B1071" s="104" t="s">
        <v>43</v>
      </c>
      <c r="C1071" s="74"/>
      <c r="D1071" s="74"/>
      <c r="E1071" s="74"/>
      <c r="F1071" s="74"/>
      <c r="G1071" s="74"/>
      <c r="H1071" s="74"/>
      <c r="I1071" s="74"/>
      <c r="J1071" s="105"/>
    </row>
    <row r="1072" spans="1:10" ht="13" x14ac:dyDescent="0.3">
      <c r="A1072" s="91"/>
      <c r="B1072" s="74">
        <v>24</v>
      </c>
      <c r="C1072" s="74" t="str">
        <f>'Unit tariffs'!B$111</f>
        <v>km-truck with platform</v>
      </c>
      <c r="D1072" s="74"/>
      <c r="E1072" s="74"/>
      <c r="F1072" s="74"/>
      <c r="G1072" s="74"/>
      <c r="H1072" s="76">
        <v>1010.8920834182238</v>
      </c>
      <c r="I1072" s="76">
        <f>VLOOKUP($C1072,'Unit tariffs'!$B$21:$F$123,5,FALSE)*$B1072</f>
        <v>1182.7997218118533</v>
      </c>
      <c r="J1072" s="105"/>
    </row>
    <row r="1073" spans="1:11" ht="13" x14ac:dyDescent="0.3">
      <c r="A1073" s="91"/>
      <c r="B1073" s="74">
        <f>+B1067</f>
        <v>2</v>
      </c>
      <c r="C1073" s="74" t="str">
        <f>'Unit tariffs'!B$112</f>
        <v>hour-truck with platform</v>
      </c>
      <c r="D1073" s="74"/>
      <c r="E1073" s="74"/>
      <c r="F1073" s="74"/>
      <c r="G1073" s="74"/>
      <c r="H1073" s="81">
        <v>409.96883462334625</v>
      </c>
      <c r="I1073" s="81">
        <f>VLOOKUP($C1073,'Unit tariffs'!$B$21:$F$123,5,FALSE)*$B1073</f>
        <v>479.6862409925584</v>
      </c>
      <c r="J1073" s="105"/>
    </row>
    <row r="1074" spans="1:11" ht="13" x14ac:dyDescent="0.3">
      <c r="A1074" s="91"/>
      <c r="B1074" s="74"/>
      <c r="C1074" s="74"/>
      <c r="D1074" s="74"/>
      <c r="E1074" s="74"/>
      <c r="F1074" s="74"/>
      <c r="G1074" s="74"/>
      <c r="H1074" s="649">
        <v>1420.8609180415701</v>
      </c>
      <c r="I1074" s="649">
        <f>SUM(I1072:I1073)</f>
        <v>1662.4859628044117</v>
      </c>
      <c r="J1074" s="95"/>
    </row>
    <row r="1075" spans="1:11" ht="13" x14ac:dyDescent="0.3">
      <c r="A1075" s="91"/>
      <c r="B1075" s="104" t="s">
        <v>333</v>
      </c>
      <c r="C1075" s="74"/>
      <c r="D1075" s="74"/>
      <c r="E1075" s="74"/>
      <c r="F1075" s="74"/>
      <c r="G1075" s="74"/>
      <c r="H1075" s="189"/>
      <c r="I1075" s="189"/>
      <c r="J1075" s="459"/>
    </row>
    <row r="1076" spans="1:11" ht="13" x14ac:dyDescent="0.3">
      <c r="A1076" s="91"/>
      <c r="B1076" s="74"/>
      <c r="C1076" s="74"/>
      <c r="D1076" s="74"/>
      <c r="E1076" s="74"/>
      <c r="F1076" s="74"/>
      <c r="G1076" s="74"/>
      <c r="H1076" s="189"/>
      <c r="I1076" s="189"/>
      <c r="J1076" s="105"/>
    </row>
    <row r="1077" spans="1:11" ht="13" x14ac:dyDescent="0.3">
      <c r="A1077" s="91"/>
      <c r="B1077" s="85">
        <v>3</v>
      </c>
      <c r="C1077" s="85" t="str">
        <f>'Unit tariffs'!B99</f>
        <v>m Additional rock per sqm (Internal)</v>
      </c>
      <c r="D1077" s="85"/>
      <c r="E1077" s="85"/>
      <c r="F1077" s="85"/>
      <c r="G1077" s="85"/>
      <c r="H1077" s="188">
        <v>5782.8653723076932</v>
      </c>
      <c r="I1077" s="188">
        <f>VLOOKUP($C1077,'Unit tariffs'!B97:F99,5,FALSE)*$B1077</f>
        <v>6428.129729538462</v>
      </c>
      <c r="J1077" s="105"/>
    </row>
    <row r="1078" spans="1:11" ht="13" x14ac:dyDescent="0.3">
      <c r="A1078" s="91"/>
      <c r="B1078" s="85">
        <v>12</v>
      </c>
      <c r="C1078" s="85" t="str">
        <f>'Unit tariffs'!B98</f>
        <v>m trench 0.6 m deep, Dig &amp; Backfill (Internal)</v>
      </c>
      <c r="D1078" s="85"/>
      <c r="E1078" s="85"/>
      <c r="F1078" s="85"/>
      <c r="G1078" s="85"/>
      <c r="H1078" s="708">
        <v>3947.0446430769234</v>
      </c>
      <c r="I1078" s="708">
        <f>VLOOKUP($C1078,'Unit tariffs'!B98:F100,5,FALSE)*$B1078</f>
        <v>4346.2028381538466</v>
      </c>
      <c r="J1078" s="113"/>
    </row>
    <row r="1079" spans="1:11" ht="13.5" thickBot="1" x14ac:dyDescent="0.35">
      <c r="A1079" s="91"/>
      <c r="B1079" s="74"/>
      <c r="C1079" s="74"/>
      <c r="D1079" s="74"/>
      <c r="E1079" s="74"/>
      <c r="F1079" s="74"/>
      <c r="G1079" s="76" t="s">
        <v>44</v>
      </c>
      <c r="H1079" s="710">
        <v>9729.9100153846157</v>
      </c>
      <c r="I1079" s="710">
        <f>SUM(I1077:I1078)</f>
        <v>10774.332567692309</v>
      </c>
      <c r="J1079" s="95"/>
    </row>
    <row r="1080" spans="1:11" ht="13.5" thickTop="1" x14ac:dyDescent="0.3">
      <c r="A1080" s="91"/>
      <c r="B1080" s="74"/>
      <c r="C1080" s="74"/>
      <c r="D1080" s="74"/>
      <c r="E1080" s="74"/>
      <c r="F1080" s="74"/>
      <c r="G1080" s="76"/>
      <c r="H1080" s="189">
        <v>27498.795335701565</v>
      </c>
      <c r="I1080" s="189">
        <f>I1079+I1074+I1069+I1065+I1061</f>
        <v>29400.580822337488</v>
      </c>
      <c r="J1080" s="95"/>
    </row>
    <row r="1081" spans="1:11" ht="13.5" thickBot="1" x14ac:dyDescent="0.35">
      <c r="A1081" s="91"/>
      <c r="B1081" s="104" t="str">
        <f>'Unit tariffs'!$B$7</f>
        <v>Administration Levy (Indirect Cost)</v>
      </c>
      <c r="C1081" s="74"/>
      <c r="D1081" s="106">
        <f>'Unit tariffs'!$C$7</f>
        <v>0.1</v>
      </c>
      <c r="E1081" s="74" t="s">
        <v>311</v>
      </c>
      <c r="F1081" s="186">
        <f>+'Unit tariffs'!$F$7</f>
        <v>10000</v>
      </c>
      <c r="G1081" s="76"/>
      <c r="H1081" s="343">
        <v>972.99100153846166</v>
      </c>
      <c r="I1081" s="343">
        <f>IF(I1079*$D1081&gt;='Unit tariffs'!$E$7,'Unit tariffs'!$E$7,I1079*$D1081)</f>
        <v>1077.4332567692309</v>
      </c>
      <c r="J1081" s="95"/>
    </row>
    <row r="1082" spans="1:11" ht="13.5" thickTop="1" x14ac:dyDescent="0.3">
      <c r="A1082" s="91"/>
      <c r="B1082" s="104" t="s">
        <v>44</v>
      </c>
      <c r="C1082" s="74"/>
      <c r="D1082" s="74"/>
      <c r="E1082" s="74"/>
      <c r="F1082" s="74"/>
      <c r="G1082" s="76"/>
      <c r="H1082" s="76">
        <v>38201.69635262464</v>
      </c>
      <c r="I1082" s="76">
        <f>SUM(I1079:I1081)</f>
        <v>41252.346646799029</v>
      </c>
      <c r="J1082" s="95"/>
      <c r="K1082" s="111"/>
    </row>
    <row r="1083" spans="1:11" ht="18" customHeight="1" x14ac:dyDescent="0.3">
      <c r="A1083" s="91"/>
      <c r="B1083" s="74"/>
      <c r="C1083" s="74"/>
      <c r="D1083" s="74"/>
      <c r="E1083" s="74"/>
      <c r="F1083" s="74"/>
      <c r="G1083" s="74"/>
      <c r="H1083" s="74"/>
      <c r="I1083" s="74"/>
      <c r="J1083" s="95"/>
    </row>
    <row r="1084" spans="1:11" ht="13" x14ac:dyDescent="0.3">
      <c r="A1084" s="91"/>
      <c r="B1084" s="74"/>
      <c r="C1084" s="74"/>
      <c r="D1084" s="74"/>
      <c r="E1084" s="74"/>
      <c r="F1084" s="74"/>
      <c r="G1084" s="74"/>
      <c r="H1084" s="84">
        <v>38200</v>
      </c>
      <c r="I1084" s="84">
        <f>ROUND(I1082,-1)</f>
        <v>41250</v>
      </c>
      <c r="J1084" s="444"/>
    </row>
    <row r="1085" spans="1:11" ht="13.5" thickBot="1" x14ac:dyDescent="0.35">
      <c r="A1085" s="443"/>
      <c r="B1085" s="123"/>
      <c r="C1085" s="123"/>
      <c r="D1085" s="123"/>
      <c r="E1085" s="123"/>
      <c r="F1085" s="123"/>
      <c r="G1085" s="123"/>
      <c r="H1085" s="130" t="e">
        <v>#N/A</v>
      </c>
      <c r="I1085" s="130">
        <f>+(I1084-H1084)/H1084</f>
        <v>7.9842931937172776E-2</v>
      </c>
      <c r="J1085" s="95"/>
    </row>
    <row r="1086" spans="1:11" ht="13.5" thickTop="1" x14ac:dyDescent="0.3">
      <c r="A1086" s="445"/>
      <c r="B1086" s="74"/>
      <c r="C1086" s="74"/>
      <c r="D1086" s="74"/>
      <c r="E1086" s="74"/>
      <c r="F1086" s="74"/>
      <c r="G1086" s="74"/>
      <c r="H1086" s="74"/>
      <c r="I1086" s="74"/>
      <c r="J1086" s="450"/>
    </row>
    <row r="1087" spans="1:11" ht="13.5" thickBot="1" x14ac:dyDescent="0.35">
      <c r="A1087" s="448"/>
      <c r="B1087" s="74"/>
      <c r="C1087" s="74"/>
      <c r="D1087" s="74"/>
      <c r="E1087" s="74"/>
      <c r="F1087" s="74"/>
      <c r="G1087" s="74"/>
      <c r="H1087" s="74"/>
      <c r="I1087" s="74"/>
      <c r="J1087" s="450"/>
    </row>
    <row r="1088" spans="1:11" ht="13.5" thickTop="1" x14ac:dyDescent="0.3">
      <c r="A1088" s="91"/>
      <c r="B1088" s="120" t="s">
        <v>1</v>
      </c>
      <c r="C1088" s="120"/>
      <c r="D1088" s="120"/>
      <c r="E1088" s="120"/>
      <c r="F1088" s="120"/>
      <c r="G1088" s="120"/>
      <c r="H1088" s="120"/>
      <c r="I1088" s="120"/>
      <c r="J1088" s="105"/>
    </row>
    <row r="1089" spans="1:10" ht="13" x14ac:dyDescent="0.3">
      <c r="A1089" s="91"/>
      <c r="B1089" s="92" t="s">
        <v>536</v>
      </c>
      <c r="C1089" s="93"/>
      <c r="D1089" s="93"/>
      <c r="E1089" s="93"/>
      <c r="F1089" s="93"/>
      <c r="G1089" s="93"/>
      <c r="H1089" s="94"/>
      <c r="I1089" s="94"/>
      <c r="J1089" s="105"/>
    </row>
    <row r="1090" spans="1:10" ht="13" x14ac:dyDescent="0.3">
      <c r="A1090" s="91"/>
      <c r="B1090" s="74"/>
      <c r="C1090" s="74"/>
      <c r="D1090" s="74"/>
      <c r="E1090" s="74"/>
      <c r="F1090" s="74"/>
      <c r="G1090" s="74"/>
      <c r="H1090" s="74"/>
      <c r="I1090" s="74"/>
      <c r="J1090" s="105"/>
    </row>
    <row r="1091" spans="1:10" ht="13" x14ac:dyDescent="0.3">
      <c r="A1091" s="91"/>
      <c r="B1091" s="934" t="s">
        <v>537</v>
      </c>
      <c r="C1091" s="935"/>
      <c r="D1091" s="935"/>
      <c r="E1091" s="935"/>
      <c r="F1091" s="935"/>
      <c r="G1091" s="936"/>
      <c r="H1091" s="132" t="s">
        <v>245</v>
      </c>
      <c r="I1091" s="132" t="s">
        <v>245</v>
      </c>
      <c r="J1091" s="105"/>
    </row>
    <row r="1092" spans="1:10" ht="13" x14ac:dyDescent="0.3">
      <c r="A1092" s="91"/>
      <c r="B1092" s="74" t="s">
        <v>1</v>
      </c>
      <c r="C1092" s="74"/>
      <c r="D1092" s="74"/>
      <c r="E1092" s="74"/>
      <c r="F1092" s="74"/>
      <c r="G1092" s="74"/>
      <c r="H1092" s="103" t="str">
        <f>+'Unit tariffs'!$F$11</f>
        <v>2026/2027</v>
      </c>
      <c r="I1092" s="103" t="str">
        <f>+'Unit tariffs'!$F$11</f>
        <v>2026/2027</v>
      </c>
      <c r="J1092" s="95"/>
    </row>
    <row r="1093" spans="1:10" ht="13" x14ac:dyDescent="0.3">
      <c r="A1093" s="91"/>
      <c r="B1093" s="104" t="s">
        <v>41</v>
      </c>
      <c r="C1093" s="74"/>
      <c r="D1093" s="74"/>
      <c r="E1093" s="74"/>
      <c r="F1093" s="74"/>
      <c r="G1093" s="74"/>
      <c r="H1093" s="74"/>
      <c r="I1093" s="74"/>
      <c r="J1093" s="444" t="s">
        <v>313</v>
      </c>
    </row>
    <row r="1094" spans="1:10" ht="13" x14ac:dyDescent="0.3">
      <c r="A1094" s="91"/>
      <c r="B1094" s="74">
        <v>0</v>
      </c>
      <c r="C1094" s="74" t="str">
        <f>+'Unit tariffs'!B35</f>
        <v>Prepaid meter (Split) 1 phase 59A Unique Mbani</v>
      </c>
      <c r="D1094" s="74"/>
      <c r="E1094" s="74"/>
      <c r="F1094" s="74"/>
      <c r="G1094" s="74"/>
      <c r="H1094" s="81">
        <v>0</v>
      </c>
      <c r="I1094" s="81">
        <f>VLOOKUP($C1094,'Unit tariffs'!$B$21:$F$123,5,FALSE)*$B1094</f>
        <v>0</v>
      </c>
      <c r="J1094" s="457" t="e">
        <f>IF(+I1094*'Unit tariffs'!#REF!&gt;'Unit tariffs'!#REF!,'Unit tariffs'!#REF!,+I1094*'Unit tariffs'!#REF!)</f>
        <v>#REF!</v>
      </c>
    </row>
    <row r="1095" spans="1:10" ht="13" x14ac:dyDescent="0.3">
      <c r="A1095" s="91"/>
      <c r="B1095" s="74">
        <v>1</v>
      </c>
      <c r="C1095" s="74" t="s">
        <v>17</v>
      </c>
      <c r="D1095" s="74"/>
      <c r="E1095" s="74"/>
      <c r="F1095" s="74"/>
      <c r="G1095" s="74"/>
      <c r="H1095" s="81">
        <v>271.44100000000003</v>
      </c>
      <c r="I1095" s="81">
        <f>VLOOKUP($C1095,'Unit tariffs'!$B$21:$F$123,5,FALSE)*$B1095</f>
        <v>282.48325</v>
      </c>
      <c r="J1095" s="457" t="e">
        <f>IF(+I1095*'Unit tariffs'!#REF!&gt;'Unit tariffs'!#REF!,'Unit tariffs'!#REF!,+I1095*'Unit tariffs'!#REF!)</f>
        <v>#REF!</v>
      </c>
    </row>
    <row r="1096" spans="1:10" ht="13" x14ac:dyDescent="0.3">
      <c r="A1096" s="91"/>
      <c r="B1096" s="74"/>
      <c r="C1096" s="74"/>
      <c r="D1096" s="74"/>
      <c r="E1096" s="74"/>
      <c r="F1096" s="74"/>
      <c r="G1096" s="76"/>
      <c r="H1096" s="76">
        <v>271.44100000000003</v>
      </c>
      <c r="I1096" s="76">
        <f>SUM(I1094:I1095)</f>
        <v>282.48325</v>
      </c>
      <c r="J1096" s="447"/>
    </row>
    <row r="1097" spans="1:10" ht="13" x14ac:dyDescent="0.3">
      <c r="A1097" s="91"/>
      <c r="B1097" s="74"/>
      <c r="C1097" s="74"/>
      <c r="D1097" s="74"/>
      <c r="E1097" s="74"/>
      <c r="F1097" s="74"/>
      <c r="G1097" s="74"/>
      <c r="H1097" s="74"/>
      <c r="I1097" s="74"/>
      <c r="J1097" s="105"/>
    </row>
    <row r="1098" spans="1:10" ht="13" x14ac:dyDescent="0.3">
      <c r="A1098" s="91"/>
      <c r="B1098" s="104" t="s">
        <v>42</v>
      </c>
      <c r="C1098" s="74"/>
      <c r="D1098" s="74"/>
      <c r="E1098" s="74"/>
      <c r="F1098" s="74"/>
      <c r="G1098" s="74"/>
      <c r="H1098" s="74"/>
      <c r="I1098" s="74"/>
      <c r="J1098" s="105"/>
    </row>
    <row r="1099" spans="1:10" ht="13" x14ac:dyDescent="0.3">
      <c r="A1099" s="91"/>
      <c r="B1099" s="74"/>
      <c r="C1099" s="74"/>
      <c r="D1099" s="74"/>
      <c r="E1099" s="74"/>
      <c r="F1099" s="74"/>
      <c r="G1099" s="74"/>
      <c r="H1099" s="74"/>
      <c r="I1099" s="74"/>
      <c r="J1099" s="105"/>
    </row>
    <row r="1100" spans="1:10" ht="13" x14ac:dyDescent="0.3">
      <c r="A1100" s="91"/>
      <c r="B1100" s="74">
        <v>0.75</v>
      </c>
      <c r="C1100" s="74" t="str">
        <f>'Unit tariffs'!B87</f>
        <v xml:space="preserve">hour-artisan </v>
      </c>
      <c r="D1100" s="74"/>
      <c r="E1100" s="74"/>
      <c r="F1100" s="74"/>
      <c r="G1100" s="74"/>
      <c r="H1100" s="76">
        <v>242.13917379807691</v>
      </c>
      <c r="I1100" s="76">
        <f>VLOOKUP($C1100,'Unit tariffs'!$B$21:$F$123,5,FALSE)*$B1100</f>
        <v>263.39457461538467</v>
      </c>
      <c r="J1100" s="95"/>
    </row>
    <row r="1101" spans="1:10" ht="13" x14ac:dyDescent="0.3">
      <c r="A1101" s="91"/>
      <c r="B1101" s="74">
        <v>1.5</v>
      </c>
      <c r="C1101" s="74" t="str">
        <f>'Unit tariffs'!B85</f>
        <v>hour-artisan assistant</v>
      </c>
      <c r="D1101" s="74"/>
      <c r="E1101" s="74"/>
      <c r="F1101" s="74"/>
      <c r="G1101" s="74"/>
      <c r="H1101" s="81">
        <v>192.80371153846158</v>
      </c>
      <c r="I1101" s="81">
        <f>VLOOKUP($C1101,'Unit tariffs'!$B$21:$F$140,5,FALSE)*$B1101</f>
        <v>209.73638769230772</v>
      </c>
      <c r="J1101" s="95"/>
    </row>
    <row r="1102" spans="1:10" ht="13" x14ac:dyDescent="0.3">
      <c r="A1102" s="91"/>
      <c r="B1102" s="74"/>
      <c r="C1102" s="74"/>
      <c r="D1102" s="74"/>
      <c r="E1102" s="74"/>
      <c r="F1102" s="74"/>
      <c r="G1102" s="74"/>
      <c r="H1102" s="76">
        <v>434.9428853365385</v>
      </c>
      <c r="I1102" s="76">
        <f>SUM(I1100:I1101)</f>
        <v>473.13096230769236</v>
      </c>
      <c r="J1102" s="105"/>
    </row>
    <row r="1103" spans="1:10" ht="13" x14ac:dyDescent="0.3">
      <c r="A1103" s="91"/>
      <c r="B1103" s="104" t="s">
        <v>43</v>
      </c>
      <c r="C1103" s="74"/>
      <c r="D1103" s="74"/>
      <c r="E1103" s="74"/>
      <c r="F1103" s="74"/>
      <c r="G1103" s="74"/>
      <c r="H1103" s="74"/>
      <c r="I1103" s="74"/>
      <c r="J1103" s="105"/>
    </row>
    <row r="1104" spans="1:10" ht="13" x14ac:dyDescent="0.3">
      <c r="A1104" s="91"/>
      <c r="B1104" s="74"/>
      <c r="C1104" s="74"/>
      <c r="D1104" s="74"/>
      <c r="E1104" s="74"/>
      <c r="F1104" s="74"/>
      <c r="G1104" s="74"/>
      <c r="H1104" s="74"/>
      <c r="I1104" s="74"/>
      <c r="J1104" s="105"/>
    </row>
    <row r="1105" spans="1:10" ht="13" x14ac:dyDescent="0.3">
      <c r="A1105" s="91"/>
      <c r="B1105" s="74">
        <v>24</v>
      </c>
      <c r="C1105" s="74" t="str">
        <f>'Unit tariffs'!B111</f>
        <v>km-truck with platform</v>
      </c>
      <c r="D1105" s="74"/>
      <c r="E1105" s="74"/>
      <c r="F1105" s="74"/>
      <c r="G1105" s="74"/>
      <c r="H1105" s="76">
        <v>1010.8920834182238</v>
      </c>
      <c r="I1105" s="76">
        <f>VLOOKUP($C1105,'Unit tariffs'!$B$21:$F$123,5,FALSE)*$B1105</f>
        <v>1182.7997218118533</v>
      </c>
      <c r="J1105" s="95"/>
    </row>
    <row r="1106" spans="1:10" ht="13" x14ac:dyDescent="0.3">
      <c r="A1106" s="91"/>
      <c r="B1106" s="74">
        <v>0.75</v>
      </c>
      <c r="C1106" s="74" t="str">
        <f>'Unit tariffs'!B112</f>
        <v>hour-truck with platform</v>
      </c>
      <c r="D1106" s="74"/>
      <c r="E1106" s="74"/>
      <c r="F1106" s="74"/>
      <c r="G1106" s="74"/>
      <c r="H1106" s="76">
        <v>153.73831298375484</v>
      </c>
      <c r="I1106" s="76">
        <f>VLOOKUP($C1106,'Unit tariffs'!$B$21:$F$123,5,FALSE)*$B1106</f>
        <v>179.8823403722094</v>
      </c>
      <c r="J1106" s="95"/>
    </row>
    <row r="1107" spans="1:10" ht="13" x14ac:dyDescent="0.3">
      <c r="A1107" s="91"/>
      <c r="B1107" s="74"/>
      <c r="C1107" s="74"/>
      <c r="D1107" s="74"/>
      <c r="E1107" s="74"/>
      <c r="F1107" s="74"/>
      <c r="G1107" s="74"/>
      <c r="H1107" s="137">
        <v>1164.6303964019787</v>
      </c>
      <c r="I1107" s="137">
        <f>SUM(I1105:I1106)</f>
        <v>1362.6820621840627</v>
      </c>
      <c r="J1107" s="105"/>
    </row>
    <row r="1108" spans="1:10" ht="13.5" thickBot="1" x14ac:dyDescent="0.35">
      <c r="A1108" s="91"/>
      <c r="B1108" s="104"/>
      <c r="C1108" s="74"/>
      <c r="D1108" s="106"/>
      <c r="E1108" s="74"/>
      <c r="F1108" s="74"/>
      <c r="G1108" s="74"/>
      <c r="H1108" s="108"/>
      <c r="I1108" s="108"/>
      <c r="J1108" s="105"/>
    </row>
    <row r="1109" spans="1:10" ht="13.5" thickTop="1" x14ac:dyDescent="0.3">
      <c r="A1109" s="91"/>
      <c r="B1109" s="74"/>
      <c r="C1109" s="74"/>
      <c r="D1109" s="74"/>
      <c r="E1109" s="74"/>
      <c r="F1109" s="74"/>
      <c r="G1109" s="76"/>
      <c r="H1109" s="76">
        <v>1871.0142817385172</v>
      </c>
      <c r="I1109" s="76">
        <f>+I1107+I1102+I1096</f>
        <v>2118.296274491755</v>
      </c>
      <c r="J1109" s="105"/>
    </row>
    <row r="1110" spans="1:10" ht="13.5" thickBot="1" x14ac:dyDescent="0.35">
      <c r="A1110" s="91"/>
      <c r="B1110" s="104" t="str">
        <f>'Unit tariffs'!$B$7</f>
        <v>Administration Levy (Indirect Cost)</v>
      </c>
      <c r="C1110" s="74"/>
      <c r="D1110" s="106">
        <f>'Unit tariffs'!$C$7</f>
        <v>0.1</v>
      </c>
      <c r="E1110" s="74" t="s">
        <v>311</v>
      </c>
      <c r="F1110" s="186">
        <f>+'Unit tariffs'!$F$7</f>
        <v>10000</v>
      </c>
      <c r="G1110" s="76"/>
      <c r="H1110" s="108">
        <v>187.10142817385173</v>
      </c>
      <c r="I1110" s="108">
        <f>IF(I1109*$D1110&gt;='Unit tariffs'!$E$7,'Unit tariffs'!$E$7,I1109*$D1110)</f>
        <v>211.82962744917552</v>
      </c>
      <c r="J1110" s="105"/>
    </row>
    <row r="1111" spans="1:10" ht="13.5" thickTop="1" x14ac:dyDescent="0.3">
      <c r="A1111" s="91"/>
      <c r="B1111" s="104" t="s">
        <v>44</v>
      </c>
      <c r="C1111" s="74"/>
      <c r="D1111" s="74"/>
      <c r="E1111" s="74"/>
      <c r="F1111" s="74"/>
      <c r="G1111" s="76"/>
      <c r="H1111" s="109">
        <v>2058.1157099123689</v>
      </c>
      <c r="I1111" s="109">
        <f>SUM(I1109:I1110)</f>
        <v>2330.1259019409304</v>
      </c>
      <c r="J1111" s="105"/>
    </row>
    <row r="1112" spans="1:10" ht="13" x14ac:dyDescent="0.3">
      <c r="A1112" s="91"/>
      <c r="B1112" s="74"/>
      <c r="C1112" s="74"/>
      <c r="D1112" s="74"/>
      <c r="E1112" s="74"/>
      <c r="F1112" s="74"/>
      <c r="G1112" s="74"/>
      <c r="H1112" s="74"/>
      <c r="I1112" s="74"/>
      <c r="J1112" s="105"/>
    </row>
    <row r="1113" spans="1:10" ht="13" x14ac:dyDescent="0.3">
      <c r="A1113" s="91"/>
      <c r="B1113" s="104" t="s">
        <v>45</v>
      </c>
      <c r="C1113" s="74"/>
      <c r="D1113" s="74"/>
      <c r="E1113" s="74"/>
      <c r="F1113" s="74"/>
      <c r="G1113" s="74"/>
      <c r="H1113" s="84">
        <v>2060</v>
      </c>
      <c r="I1113" s="84">
        <f>ROUND(I1111,-1)</f>
        <v>2330</v>
      </c>
      <c r="J1113" s="105"/>
    </row>
    <row r="1114" spans="1:10" ht="13" x14ac:dyDescent="0.3">
      <c r="A1114" s="91"/>
      <c r="H1114" s="76"/>
      <c r="I1114" s="76"/>
      <c r="J1114" s="105"/>
    </row>
    <row r="1115" spans="1:10" ht="13" x14ac:dyDescent="0.3">
      <c r="A1115" s="91"/>
      <c r="B1115" s="74"/>
      <c r="C1115" s="74"/>
      <c r="D1115" s="74"/>
      <c r="E1115" s="74"/>
      <c r="F1115" s="74"/>
      <c r="G1115" s="74"/>
      <c r="H1115" s="112">
        <v>0</v>
      </c>
      <c r="I1115" s="112">
        <f>(I1113-H1113)/H1113</f>
        <v>0.13106796116504854</v>
      </c>
      <c r="J1115" s="110"/>
    </row>
    <row r="1116" spans="1:10" ht="13.5" thickBot="1" x14ac:dyDescent="0.35">
      <c r="A1116" s="448"/>
      <c r="B1116" s="74"/>
      <c r="C1116" s="74"/>
      <c r="D1116" s="74"/>
      <c r="E1116" s="74"/>
      <c r="F1116" s="74"/>
      <c r="G1116" s="74"/>
      <c r="H1116" s="123"/>
      <c r="I1116" s="123"/>
      <c r="J1116" s="105"/>
    </row>
    <row r="1117" spans="1:10" ht="13.5" thickTop="1" x14ac:dyDescent="0.3">
      <c r="A1117" s="91"/>
      <c r="B1117" s="120"/>
      <c r="C1117" s="120"/>
      <c r="D1117" s="120"/>
      <c r="E1117" s="120"/>
      <c r="F1117" s="120"/>
      <c r="G1117" s="120"/>
      <c r="H1117" s="74"/>
      <c r="I1117" s="74"/>
      <c r="J1117" s="113"/>
    </row>
    <row r="1118" spans="1:10" ht="13" x14ac:dyDescent="0.3">
      <c r="A1118" s="91"/>
      <c r="B1118" s="74"/>
      <c r="C1118" s="74"/>
      <c r="D1118" s="74"/>
      <c r="E1118" s="74"/>
      <c r="F1118" s="74"/>
      <c r="G1118" s="74"/>
      <c r="H1118" s="74"/>
      <c r="I1118" s="74"/>
      <c r="J1118" s="95"/>
    </row>
    <row r="1119" spans="1:10" ht="13" x14ac:dyDescent="0.3">
      <c r="A1119" s="91"/>
      <c r="B1119" s="74" t="s">
        <v>1</v>
      </c>
      <c r="C1119" s="74"/>
      <c r="D1119" s="74"/>
      <c r="E1119" s="74"/>
      <c r="F1119" s="74"/>
      <c r="G1119" s="74"/>
      <c r="H1119" s="74"/>
      <c r="I1119" s="74"/>
      <c r="J1119" s="95"/>
    </row>
    <row r="1120" spans="1:10" ht="23.25" customHeight="1" x14ac:dyDescent="0.3">
      <c r="A1120" s="91"/>
      <c r="B1120" s="147" t="s">
        <v>538</v>
      </c>
      <c r="C1120" s="391"/>
      <c r="D1120" s="93"/>
      <c r="E1120" s="93"/>
      <c r="F1120" s="93"/>
      <c r="G1120" s="94"/>
      <c r="H1120" s="74"/>
      <c r="I1120" s="74"/>
      <c r="J1120" s="95"/>
    </row>
    <row r="1121" spans="1:10" ht="13" x14ac:dyDescent="0.3">
      <c r="A1121" s="91"/>
      <c r="B1121" s="74"/>
      <c r="C1121" s="74"/>
      <c r="D1121" s="74"/>
      <c r="E1121" s="74"/>
      <c r="F1121" s="74"/>
      <c r="G1121" s="74"/>
      <c r="H1121" s="103" t="str">
        <f>+'Unit tariffs'!$F$11</f>
        <v>2026/2027</v>
      </c>
      <c r="I1121" s="103" t="str">
        <f>+'Unit tariffs'!$F$11</f>
        <v>2026/2027</v>
      </c>
      <c r="J1121" s="450"/>
    </row>
    <row r="1122" spans="1:10" ht="13" x14ac:dyDescent="0.3">
      <c r="A1122" s="91"/>
      <c r="B1122" s="74"/>
      <c r="C1122" s="74"/>
      <c r="D1122" s="74"/>
      <c r="E1122" s="74"/>
      <c r="F1122" s="74"/>
      <c r="G1122" s="74"/>
      <c r="H1122" s="74"/>
      <c r="I1122" s="74"/>
      <c r="J1122" s="95"/>
    </row>
    <row r="1123" spans="1:10" ht="13" x14ac:dyDescent="0.3">
      <c r="A1123" s="91"/>
      <c r="B1123" s="104" t="s">
        <v>41</v>
      </c>
      <c r="C1123" s="74"/>
      <c r="D1123" s="74"/>
      <c r="E1123" s="74"/>
      <c r="F1123" s="74"/>
      <c r="G1123" s="74"/>
      <c r="H1123" s="74"/>
      <c r="I1123" s="74"/>
      <c r="J1123" s="450"/>
    </row>
    <row r="1124" spans="1:10" ht="13" x14ac:dyDescent="0.3">
      <c r="A1124" s="91"/>
      <c r="B1124" s="74"/>
      <c r="C1124" s="74"/>
      <c r="D1124" s="74"/>
      <c r="E1124" s="74"/>
      <c r="F1124" s="74"/>
      <c r="G1124" s="74"/>
      <c r="H1124" s="74"/>
      <c r="I1124" s="74"/>
      <c r="J1124" s="444" t="s">
        <v>313</v>
      </c>
    </row>
    <row r="1125" spans="1:10" ht="13" x14ac:dyDescent="0.3">
      <c r="A1125" s="91"/>
      <c r="B1125" s="74">
        <v>0</v>
      </c>
      <c r="C1125" s="85" t="str">
        <f>'Unit tariffs'!B36</f>
        <v xml:space="preserve">Prepaid meter (Split) 3 phase - </v>
      </c>
      <c r="D1125" s="74"/>
      <c r="E1125" s="74"/>
      <c r="F1125" s="74"/>
      <c r="G1125" s="74"/>
      <c r="H1125" s="189">
        <v>0</v>
      </c>
      <c r="I1125" s="189">
        <f>VLOOKUP($C1125,'Unit tariffs'!$B$21:$F$123,5,FALSE)*$B1125</f>
        <v>0</v>
      </c>
      <c r="J1125" s="457" t="e">
        <f>IF(+I1125*'Unit tariffs'!#REF!&gt;'Unit tariffs'!#REF!,'Unit tariffs'!#REF!,+I1125*'Unit tariffs'!#REF!)</f>
        <v>#REF!</v>
      </c>
    </row>
    <row r="1126" spans="1:10" ht="13" x14ac:dyDescent="0.3">
      <c r="A1126" s="91"/>
      <c r="B1126" s="74">
        <v>1</v>
      </c>
      <c r="C1126" s="74" t="str">
        <f>'Unit tariffs'!B21</f>
        <v>Installation material</v>
      </c>
      <c r="D1126" s="74"/>
      <c r="E1126" s="74"/>
      <c r="F1126" s="74"/>
      <c r="G1126" s="74"/>
      <c r="H1126" s="81">
        <v>271.44100000000003</v>
      </c>
      <c r="I1126" s="81">
        <f>VLOOKUP($C1126,'Unit tariffs'!$B$21:$F$123,5,FALSE)*$B1126</f>
        <v>282.48325</v>
      </c>
      <c r="J1126" s="457" t="e">
        <f>IF(+I1126*'Unit tariffs'!#REF!&gt;'Unit tariffs'!#REF!,'Unit tariffs'!#REF!,+I1126*'Unit tariffs'!#REF!)</f>
        <v>#REF!</v>
      </c>
    </row>
    <row r="1127" spans="1:10" ht="13" x14ac:dyDescent="0.3">
      <c r="A1127" s="91"/>
      <c r="B1127" s="74"/>
      <c r="C1127" s="74"/>
      <c r="D1127" s="74"/>
      <c r="E1127" s="74"/>
      <c r="F1127" s="74"/>
      <c r="G1127" s="76"/>
      <c r="H1127" s="76">
        <v>271.44100000000003</v>
      </c>
      <c r="I1127" s="76">
        <f>SUM(I1125:I1126)</f>
        <v>282.48325</v>
      </c>
      <c r="J1127" s="95"/>
    </row>
    <row r="1128" spans="1:10" ht="13" x14ac:dyDescent="0.3">
      <c r="A1128" s="91"/>
      <c r="B1128" s="104" t="s">
        <v>42</v>
      </c>
      <c r="C1128" s="74"/>
      <c r="D1128" s="74"/>
      <c r="E1128" s="74"/>
      <c r="F1128" s="74"/>
      <c r="G1128" s="74"/>
      <c r="H1128" s="74"/>
      <c r="I1128" s="74"/>
      <c r="J1128" s="95"/>
    </row>
    <row r="1129" spans="1:10" ht="13" x14ac:dyDescent="0.3">
      <c r="A1129" s="91"/>
      <c r="B1129" s="74"/>
      <c r="C1129" s="74"/>
      <c r="D1129" s="74"/>
      <c r="E1129" s="74"/>
      <c r="F1129" s="74"/>
      <c r="G1129" s="74"/>
      <c r="H1129" s="74"/>
      <c r="I1129" s="74"/>
      <c r="J1129" s="105"/>
    </row>
    <row r="1130" spans="1:10" ht="13" x14ac:dyDescent="0.3">
      <c r="A1130" s="91"/>
      <c r="B1130" s="74">
        <v>1</v>
      </c>
      <c r="C1130" s="74" t="str">
        <f>'Unit tariffs'!B$87</f>
        <v xml:space="preserve">hour-artisan </v>
      </c>
      <c r="D1130" s="74"/>
      <c r="E1130" s="74"/>
      <c r="F1130" s="74"/>
      <c r="G1130" s="74"/>
      <c r="H1130" s="76">
        <v>322.85223173076923</v>
      </c>
      <c r="I1130" s="76">
        <f>VLOOKUP($C1130,'Unit tariffs'!$B$21:$F$123,5,FALSE)*$B1130</f>
        <v>351.19276615384621</v>
      </c>
      <c r="J1130" s="105"/>
    </row>
    <row r="1131" spans="1:10" ht="13" x14ac:dyDescent="0.3">
      <c r="A1131" s="91"/>
      <c r="B1131" s="74">
        <v>2</v>
      </c>
      <c r="C1131" s="74" t="str">
        <f>'Unit tariffs'!B$85</f>
        <v>hour-artisan assistant</v>
      </c>
      <c r="D1131" s="74"/>
      <c r="E1131" s="74"/>
      <c r="F1131" s="74"/>
      <c r="G1131" s="74"/>
      <c r="H1131" s="81">
        <v>257.07161538461543</v>
      </c>
      <c r="I1131" s="81">
        <f>VLOOKUP($C1131,'Unit tariffs'!$B$21:$F$123,5,FALSE)*$B1131</f>
        <v>279.64851692307695</v>
      </c>
      <c r="J1131" s="105"/>
    </row>
    <row r="1132" spans="1:10" ht="13" x14ac:dyDescent="0.3">
      <c r="A1132" s="91"/>
      <c r="B1132" s="74"/>
      <c r="C1132" s="74"/>
      <c r="D1132" s="74"/>
      <c r="E1132" s="74"/>
      <c r="F1132" s="74"/>
      <c r="G1132" s="74"/>
      <c r="H1132" s="76">
        <v>579.92384711538466</v>
      </c>
      <c r="I1132" s="76">
        <f>SUM(I1130:I1131)</f>
        <v>630.84128307692322</v>
      </c>
      <c r="J1132" s="105"/>
    </row>
    <row r="1133" spans="1:10" ht="13" x14ac:dyDescent="0.3">
      <c r="A1133" s="91"/>
      <c r="B1133" s="104" t="s">
        <v>43</v>
      </c>
      <c r="C1133" s="74"/>
      <c r="D1133" s="74"/>
      <c r="E1133" s="74"/>
      <c r="F1133" s="74"/>
      <c r="G1133" s="74"/>
      <c r="H1133" s="74"/>
      <c r="I1133" s="74"/>
      <c r="J1133" s="105"/>
    </row>
    <row r="1134" spans="1:10" ht="13" x14ac:dyDescent="0.3">
      <c r="A1134" s="91"/>
      <c r="B1134" s="74"/>
      <c r="C1134" s="74"/>
      <c r="D1134" s="74"/>
      <c r="E1134" s="74"/>
      <c r="F1134" s="74"/>
      <c r="G1134" s="74"/>
      <c r="H1134" s="74"/>
      <c r="I1134" s="74"/>
      <c r="J1134" s="105"/>
    </row>
    <row r="1135" spans="1:10" ht="13" x14ac:dyDescent="0.3">
      <c r="A1135" s="91"/>
      <c r="B1135" s="74">
        <v>14</v>
      </c>
      <c r="C1135" s="74" t="str">
        <f>'Unit tariffs'!B$111</f>
        <v>km-truck with platform</v>
      </c>
      <c r="D1135" s="74"/>
      <c r="E1135" s="74"/>
      <c r="F1135" s="74"/>
      <c r="G1135" s="74"/>
      <c r="H1135" s="76">
        <v>589.68704866063058</v>
      </c>
      <c r="I1135" s="76">
        <f>VLOOKUP($C1135,'Unit tariffs'!$B$21:$F$123,5,FALSE)*$B1135</f>
        <v>689.96650439024779</v>
      </c>
      <c r="J1135" s="105"/>
    </row>
    <row r="1136" spans="1:10" ht="13" x14ac:dyDescent="0.3">
      <c r="A1136" s="91"/>
      <c r="B1136" s="74">
        <v>1</v>
      </c>
      <c r="C1136" s="74" t="str">
        <f>'Unit tariffs'!B$112</f>
        <v>hour-truck with platform</v>
      </c>
      <c r="D1136" s="74"/>
      <c r="E1136" s="74"/>
      <c r="F1136" s="74"/>
      <c r="G1136" s="74"/>
      <c r="H1136" s="76">
        <v>204.98441731167313</v>
      </c>
      <c r="I1136" s="76">
        <f>VLOOKUP($C1136,'Unit tariffs'!$B$21:$F$123,5,FALSE)*$B1136</f>
        <v>239.8431204962792</v>
      </c>
      <c r="J1136" s="95"/>
    </row>
    <row r="1137" spans="1:11" ht="13" x14ac:dyDescent="0.3">
      <c r="A1137" s="91"/>
      <c r="B1137" s="74"/>
      <c r="C1137" s="74"/>
      <c r="D1137" s="74"/>
      <c r="E1137" s="74"/>
      <c r="F1137" s="74"/>
      <c r="G1137" s="74"/>
      <c r="H1137" s="137">
        <v>794.67146597230374</v>
      </c>
      <c r="I1137" s="137">
        <f>SUM(I1135:I1136)</f>
        <v>929.80962488652699</v>
      </c>
      <c r="J1137" s="95"/>
    </row>
    <row r="1138" spans="1:11" ht="13.5" thickBot="1" x14ac:dyDescent="0.35">
      <c r="A1138" s="91"/>
      <c r="B1138" s="104"/>
      <c r="C1138" s="74"/>
      <c r="D1138" s="106"/>
      <c r="E1138" s="74"/>
      <c r="F1138" s="74"/>
      <c r="G1138" s="74"/>
      <c r="H1138" s="108"/>
      <c r="I1138" s="108"/>
      <c r="J1138" s="105"/>
    </row>
    <row r="1139" spans="1:11" ht="13.5" thickTop="1" x14ac:dyDescent="0.3">
      <c r="A1139" s="91"/>
      <c r="B1139" s="74"/>
      <c r="C1139" s="74"/>
      <c r="D1139" s="74"/>
      <c r="E1139" s="74"/>
      <c r="F1139" s="74"/>
      <c r="G1139" s="76"/>
      <c r="H1139" s="76">
        <v>1646.0363130876883</v>
      </c>
      <c r="I1139" s="76">
        <f>I1137+I1132+I1127</f>
        <v>1843.1341579634502</v>
      </c>
      <c r="J1139" s="105"/>
    </row>
    <row r="1140" spans="1:11" ht="13.5" thickBot="1" x14ac:dyDescent="0.35">
      <c r="A1140" s="91"/>
      <c r="B1140" s="104" t="str">
        <f>'Unit tariffs'!$B$7</f>
        <v>Administration Levy (Indirect Cost)</v>
      </c>
      <c r="C1140" s="74"/>
      <c r="D1140" s="106">
        <f>'Unit tariffs'!$C$7</f>
        <v>0.1</v>
      </c>
      <c r="E1140" s="74" t="s">
        <v>311</v>
      </c>
      <c r="F1140" s="186">
        <f>+'Unit tariffs'!$F$7</f>
        <v>10000</v>
      </c>
      <c r="G1140" s="76"/>
      <c r="H1140" s="108">
        <v>164.60363130876885</v>
      </c>
      <c r="I1140" s="108">
        <f>IF(I1139*$D1140&gt;='Unit tariffs'!$E$7,'Unit tariffs'!$E$7,I1139*$D1140)</f>
        <v>184.31341579634503</v>
      </c>
      <c r="J1140" s="105"/>
    </row>
    <row r="1141" spans="1:11" ht="13.5" thickTop="1" x14ac:dyDescent="0.3">
      <c r="A1141" s="91"/>
      <c r="B1141" s="104" t="s">
        <v>44</v>
      </c>
      <c r="C1141" s="74"/>
      <c r="D1141" s="74"/>
      <c r="E1141" s="74"/>
      <c r="F1141" s="74"/>
      <c r="G1141" s="76"/>
      <c r="H1141" s="109">
        <v>1810.6399443964572</v>
      </c>
      <c r="I1141" s="109">
        <f>SUM(I1139:I1140)</f>
        <v>2027.4475737597952</v>
      </c>
      <c r="J1141" s="95"/>
    </row>
    <row r="1142" spans="1:11" ht="13" x14ac:dyDescent="0.3">
      <c r="A1142" s="91"/>
      <c r="B1142" s="74"/>
      <c r="C1142" s="74"/>
      <c r="D1142" s="74"/>
      <c r="E1142" s="74"/>
      <c r="F1142" s="74"/>
      <c r="G1142" s="74"/>
      <c r="H1142" s="74"/>
      <c r="I1142" s="74"/>
      <c r="J1142" s="95"/>
    </row>
    <row r="1143" spans="1:11" ht="13" x14ac:dyDescent="0.3">
      <c r="A1143" s="91"/>
      <c r="B1143" s="104" t="s">
        <v>45</v>
      </c>
      <c r="C1143" s="74"/>
      <c r="D1143" s="74"/>
      <c r="E1143" s="74"/>
      <c r="F1143" s="74"/>
      <c r="G1143" s="74"/>
      <c r="H1143" s="84">
        <v>1810</v>
      </c>
      <c r="I1143" s="84">
        <f>ROUND(I1141,-1)</f>
        <v>2030</v>
      </c>
      <c r="J1143" s="105"/>
    </row>
    <row r="1144" spans="1:11" ht="13" x14ac:dyDescent="0.3">
      <c r="A1144" s="91"/>
      <c r="H1144" s="198"/>
      <c r="I1144" s="198"/>
      <c r="J1144" s="105"/>
    </row>
    <row r="1145" spans="1:11" ht="13" x14ac:dyDescent="0.3">
      <c r="A1145" s="91"/>
      <c r="B1145" s="74"/>
      <c r="C1145" s="74"/>
      <c r="D1145" s="74"/>
      <c r="E1145" s="74"/>
      <c r="F1145" s="74"/>
      <c r="G1145" s="74"/>
      <c r="H1145" s="112">
        <v>0</v>
      </c>
      <c r="I1145" s="112">
        <f>(I1143-H1143)/H1143</f>
        <v>0.12154696132596685</v>
      </c>
      <c r="J1145" s="105"/>
    </row>
    <row r="1146" spans="1:11" ht="13" x14ac:dyDescent="0.3">
      <c r="A1146" s="91"/>
      <c r="B1146" s="74"/>
      <c r="C1146" s="74"/>
      <c r="D1146" s="74"/>
      <c r="E1146" s="74"/>
      <c r="F1146" s="74"/>
      <c r="G1146" s="74"/>
      <c r="H1146" s="74"/>
      <c r="I1146" s="74"/>
      <c r="J1146" s="105"/>
    </row>
    <row r="1147" spans="1:11" ht="13" x14ac:dyDescent="0.3">
      <c r="A1147" s="91"/>
      <c r="B1147" s="74"/>
      <c r="C1147" s="74"/>
      <c r="D1147" s="74"/>
      <c r="E1147" s="74"/>
      <c r="F1147" s="74"/>
      <c r="G1147" s="74"/>
      <c r="H1147" s="74"/>
      <c r="I1147" s="74"/>
      <c r="J1147" s="105"/>
    </row>
    <row r="1148" spans="1:11" ht="13" x14ac:dyDescent="0.3">
      <c r="A1148" s="91"/>
      <c r="B1148" s="74"/>
      <c r="C1148" s="74"/>
      <c r="D1148" s="74"/>
      <c r="E1148" s="74"/>
      <c r="F1148" s="74"/>
      <c r="G1148" s="74"/>
      <c r="H1148" s="74"/>
      <c r="I1148" s="74"/>
      <c r="J1148" s="105"/>
    </row>
    <row r="1149" spans="1:11" ht="13" x14ac:dyDescent="0.3">
      <c r="A1149" s="91"/>
      <c r="B1149" s="92" t="s">
        <v>539</v>
      </c>
      <c r="C1149" s="93"/>
      <c r="D1149" s="93"/>
      <c r="E1149" s="93"/>
      <c r="F1149" s="93"/>
      <c r="G1149" s="94"/>
      <c r="H1149" s="132" t="s">
        <v>232</v>
      </c>
      <c r="I1149" s="132" t="s">
        <v>232</v>
      </c>
      <c r="J1149" s="105"/>
    </row>
    <row r="1150" spans="1:11" ht="13" x14ac:dyDescent="0.3">
      <c r="A1150" s="91"/>
      <c r="B1150" s="74"/>
      <c r="C1150" s="74"/>
      <c r="D1150" s="74"/>
      <c r="E1150" s="74"/>
      <c r="F1150" s="74"/>
      <c r="G1150" s="74"/>
      <c r="H1150" s="103" t="str">
        <f>+'Unit tariffs'!$F$11</f>
        <v>2026/2027</v>
      </c>
      <c r="I1150" s="103" t="str">
        <f>+'Unit tariffs'!$F$11</f>
        <v>2026/2027</v>
      </c>
      <c r="J1150" s="105"/>
    </row>
    <row r="1151" spans="1:11" ht="13" x14ac:dyDescent="0.3">
      <c r="A1151" s="91"/>
      <c r="B1151" s="74"/>
      <c r="C1151" s="74"/>
      <c r="D1151" s="74"/>
      <c r="E1151" s="74"/>
      <c r="F1151" s="74"/>
      <c r="G1151" s="74"/>
      <c r="H1151" s="74"/>
      <c r="I1151" s="74"/>
      <c r="J1151" s="110"/>
      <c r="K1151" s="111"/>
    </row>
    <row r="1152" spans="1:11" ht="13" x14ac:dyDescent="0.3">
      <c r="A1152" s="91"/>
      <c r="B1152" s="104" t="s">
        <v>117</v>
      </c>
      <c r="C1152" s="74"/>
      <c r="D1152" s="74"/>
      <c r="E1152" s="74"/>
      <c r="F1152" s="74"/>
      <c r="G1152" s="74"/>
      <c r="H1152" s="127"/>
      <c r="I1152" s="127"/>
      <c r="J1152" s="105"/>
    </row>
    <row r="1153" spans="1:10" ht="13" x14ac:dyDescent="0.3">
      <c r="A1153" s="91"/>
      <c r="B1153" s="74" t="s">
        <v>118</v>
      </c>
      <c r="C1153" s="74"/>
      <c r="D1153" s="74"/>
      <c r="E1153" s="74"/>
      <c r="F1153" s="74"/>
      <c r="G1153" s="74"/>
      <c r="H1153" s="127"/>
      <c r="I1153" s="127"/>
      <c r="J1153" s="113"/>
    </row>
    <row r="1154" spans="1:10" ht="13" x14ac:dyDescent="0.3">
      <c r="A1154" s="91"/>
      <c r="B1154" s="74">
        <v>2.5</v>
      </c>
      <c r="C1154" s="74" t="str">
        <f>'Unit tariffs'!B$131</f>
        <v>Primary Backbone - Urban</v>
      </c>
      <c r="D1154" s="74"/>
      <c r="E1154" s="74"/>
      <c r="F1154" s="74" t="str">
        <f>'Unit tariffs'!C$131</f>
        <v>per kVA</v>
      </c>
      <c r="G1154" s="74"/>
      <c r="H1154" s="76">
        <v>3176.0685000000008</v>
      </c>
      <c r="I1154" s="76">
        <f>VLOOKUP($C1154,'Unit tariffs'!$B$21:$F$158,5,FALSE)*$B1154</f>
        <v>3588.7446084105004</v>
      </c>
      <c r="J1154" s="95"/>
    </row>
    <row r="1155" spans="1:10" ht="13" x14ac:dyDescent="0.3">
      <c r="A1155" s="91"/>
      <c r="B1155" s="74">
        <v>2.5</v>
      </c>
      <c r="C1155" s="74" t="str">
        <f>'Unit tariffs'!B$133</f>
        <v>Secondary Backbone - LV Urban</v>
      </c>
      <c r="D1155" s="74"/>
      <c r="E1155" s="74"/>
      <c r="F1155" s="74" t="str">
        <f>'Unit tariffs'!C$132</f>
        <v>per kVA</v>
      </c>
      <c r="G1155" s="74"/>
      <c r="H1155" s="76">
        <v>2735.2957500000007</v>
      </c>
      <c r="I1155" s="76">
        <f>VLOOKUP($C1155,'Unit tariffs'!$B$21:$F$158,5,FALSE)*$B1155</f>
        <v>3090.700932684751</v>
      </c>
      <c r="J1155" s="95"/>
    </row>
    <row r="1156" spans="1:10" ht="13" x14ac:dyDescent="0.3">
      <c r="A1156" s="91"/>
      <c r="B1156" s="74">
        <v>2.5</v>
      </c>
      <c r="C1156" s="74" t="str">
        <f>'Unit tariffs'!B$134</f>
        <v>LV Backbone -Urban</v>
      </c>
      <c r="D1156" s="74"/>
      <c r="E1156" s="74"/>
      <c r="F1156" s="74" t="str">
        <f>'Unit tariffs'!C$133</f>
        <v>per kVA</v>
      </c>
      <c r="G1156" s="74"/>
      <c r="H1156" s="81">
        <v>1137.8235</v>
      </c>
      <c r="I1156" s="81">
        <f>VLOOKUP($C1156,'Unit tariffs'!$B$21:$F$158,5,FALSE)*$B1156</f>
        <v>1285.6643208255</v>
      </c>
      <c r="J1156" s="95"/>
    </row>
    <row r="1157" spans="1:10" ht="19.5" customHeight="1" x14ac:dyDescent="0.3">
      <c r="A1157" s="91"/>
      <c r="B1157" s="74"/>
      <c r="C1157" s="74"/>
      <c r="D1157" s="74"/>
      <c r="E1157" s="74"/>
      <c r="F1157" s="74"/>
      <c r="G1157" s="74"/>
      <c r="H1157" s="76">
        <v>7049.187750000001</v>
      </c>
      <c r="I1157" s="76">
        <f>SUM(I1154:I1156)</f>
        <v>7965.1098619207514</v>
      </c>
      <c r="J1157" s="95"/>
    </row>
    <row r="1158" spans="1:10" ht="13" x14ac:dyDescent="0.3">
      <c r="A1158" s="91"/>
      <c r="B1158" s="104" t="s">
        <v>41</v>
      </c>
      <c r="C1158" s="74"/>
      <c r="D1158" s="74"/>
      <c r="E1158" s="74"/>
      <c r="F1158" s="74"/>
      <c r="G1158" s="74"/>
      <c r="H1158" s="74"/>
      <c r="I1158" s="74"/>
      <c r="J1158" s="115"/>
    </row>
    <row r="1159" spans="1:10" ht="13" x14ac:dyDescent="0.3">
      <c r="A1159" s="91"/>
      <c r="B1159" s="74"/>
      <c r="C1159" s="74"/>
      <c r="D1159" s="74"/>
      <c r="E1159" s="74"/>
      <c r="F1159" s="74"/>
      <c r="G1159" s="74"/>
      <c r="H1159" s="74"/>
      <c r="I1159" s="74"/>
      <c r="J1159" s="444" t="s">
        <v>313</v>
      </c>
    </row>
    <row r="1160" spans="1:10" ht="13" x14ac:dyDescent="0.3">
      <c r="A1160" s="91"/>
      <c r="B1160" s="74">
        <v>1</v>
      </c>
      <c r="C1160" s="74" t="str">
        <f>'Unit tariffs'!B46</f>
        <v>METER: TIME OF USE 100 AMP</v>
      </c>
      <c r="D1160" s="74"/>
      <c r="E1160" s="74"/>
      <c r="F1160" s="85"/>
      <c r="H1160" s="76">
        <v>5538.1406043608804</v>
      </c>
      <c r="I1160" s="76">
        <f>VLOOKUP($C1160,'Unit tariffs'!$B$21:$F$123,5,FALSE)*$B1160</f>
        <v>0</v>
      </c>
      <c r="J1160" s="457" t="e">
        <f>IF(+I1160*'Unit tariffs'!#REF!&gt;'Unit tariffs'!#REF!,'Unit tariffs'!#REF!,+I1160*'Unit tariffs'!#REF!)</f>
        <v>#REF!</v>
      </c>
    </row>
    <row r="1161" spans="1:10" ht="13" x14ac:dyDescent="0.3">
      <c r="A1161" s="91"/>
      <c r="B1161" s="74">
        <v>1</v>
      </c>
      <c r="C1161" s="74" t="s">
        <v>230</v>
      </c>
      <c r="D1161" s="74"/>
      <c r="E1161" s="74"/>
      <c r="F1161" s="74"/>
      <c r="G1161" s="74"/>
      <c r="H1161" s="76">
        <v>3707.5418271871995</v>
      </c>
      <c r="I1161" s="76">
        <f>VLOOKUP($C1161,'Unit tariffs'!$B$21:$F$123,5,FALSE)*$B1161</f>
        <v>338.07595359999993</v>
      </c>
      <c r="J1161" s="457" t="e">
        <f>IF(+I1161*'Unit tariffs'!#REF!&gt;'Unit tariffs'!#REF!,'Unit tariffs'!#REF!,+I1161*'Unit tariffs'!#REF!)</f>
        <v>#REF!</v>
      </c>
    </row>
    <row r="1162" spans="1:10" ht="13" x14ac:dyDescent="0.3">
      <c r="A1162" s="91"/>
      <c r="B1162" s="74">
        <v>3</v>
      </c>
      <c r="C1162" s="74" t="str">
        <f>'Unit tariffs'!B43</f>
        <v>x 80 A circuit breaker (5kA) - Orange</v>
      </c>
      <c r="D1162" s="74"/>
      <c r="E1162" s="74"/>
      <c r="F1162" s="74"/>
      <c r="G1162" s="74"/>
      <c r="H1162" s="76">
        <v>587.413658244972</v>
      </c>
      <c r="I1162" s="76">
        <f>VLOOKUP($C1162,'Unit tariffs'!$B$21:$F$123,5,FALSE)*$B1162</f>
        <v>0</v>
      </c>
      <c r="J1162" s="457" t="e">
        <f>IF(+I1162*'Unit tariffs'!#REF!&gt;'Unit tariffs'!#REF!,'Unit tariffs'!#REF!,+I1162*'Unit tariffs'!#REF!)</f>
        <v>#REF!</v>
      </c>
    </row>
    <row r="1163" spans="1:10" ht="13" x14ac:dyDescent="0.3">
      <c r="A1163" s="91"/>
      <c r="B1163" s="74">
        <v>1</v>
      </c>
      <c r="C1163" s="74" t="str">
        <f>'Unit tariffs'!B72</f>
        <v>Cable clamp (Clampex) - K26</v>
      </c>
      <c r="D1163" s="74"/>
      <c r="E1163" s="74"/>
      <c r="F1163" s="74"/>
      <c r="G1163" s="74"/>
      <c r="H1163" s="76">
        <v>34.833456142903692</v>
      </c>
      <c r="I1163" s="76">
        <f>VLOOKUP($C1163,'Unit tariffs'!$B$21:$F$123,5,FALSE)*$B1163</f>
        <v>1423.2410081400001</v>
      </c>
      <c r="J1163" s="457" t="e">
        <f>IF(+I1163*'Unit tariffs'!#REF!&gt;'Unit tariffs'!#REF!,'Unit tariffs'!#REF!,+I1163*'Unit tariffs'!#REF!)</f>
        <v>#REF!</v>
      </c>
    </row>
    <row r="1164" spans="1:10" ht="13" x14ac:dyDescent="0.3">
      <c r="A1164" s="91"/>
      <c r="B1164" s="74">
        <v>1</v>
      </c>
      <c r="C1164" s="74" t="str">
        <f>'Unit tariffs'!B21</f>
        <v>Installation material</v>
      </c>
      <c r="D1164" s="74"/>
      <c r="E1164" s="74"/>
      <c r="F1164" s="74"/>
      <c r="G1164" s="74"/>
      <c r="H1164" s="81">
        <v>271.44100000000003</v>
      </c>
      <c r="I1164" s="81">
        <f>VLOOKUP($C1164,'Unit tariffs'!$B$21:$F$123,5,FALSE)*$B1164</f>
        <v>282.48325</v>
      </c>
      <c r="J1164" s="457" t="e">
        <f>IF(+I1164*'Unit tariffs'!#REF!&gt;'Unit tariffs'!#REF!,'Unit tariffs'!#REF!,+I1164*'Unit tariffs'!#REF!)</f>
        <v>#REF!</v>
      </c>
    </row>
    <row r="1165" spans="1:10" ht="13" x14ac:dyDescent="0.3">
      <c r="A1165" s="91"/>
      <c r="B1165" s="74"/>
      <c r="C1165" s="74"/>
      <c r="D1165" s="74"/>
      <c r="E1165" s="74"/>
      <c r="F1165" s="74"/>
      <c r="G1165" s="76"/>
      <c r="H1165" s="76">
        <v>10139.370545935957</v>
      </c>
      <c r="I1165" s="76">
        <f>SUM(I1160:I1164)</f>
        <v>2043.8002117399999</v>
      </c>
      <c r="J1165" s="447"/>
    </row>
    <row r="1166" spans="1:10" ht="13" x14ac:dyDescent="0.3">
      <c r="A1166" s="91"/>
      <c r="B1166" s="104" t="s">
        <v>42</v>
      </c>
      <c r="C1166" s="74"/>
      <c r="D1166" s="74"/>
      <c r="E1166" s="74"/>
      <c r="F1166" s="74"/>
      <c r="G1166" s="74"/>
      <c r="H1166" s="74"/>
      <c r="I1166" s="74"/>
      <c r="J1166" s="447"/>
    </row>
    <row r="1167" spans="1:10" ht="13" x14ac:dyDescent="0.3">
      <c r="A1167" s="91"/>
      <c r="B1167" s="74"/>
      <c r="C1167" s="74"/>
      <c r="D1167" s="74"/>
      <c r="E1167" s="74"/>
      <c r="F1167" s="74"/>
      <c r="G1167" s="74"/>
      <c r="H1167" s="74"/>
      <c r="I1167" s="74"/>
      <c r="J1167" s="447"/>
    </row>
    <row r="1168" spans="1:10" ht="13" x14ac:dyDescent="0.3">
      <c r="A1168" s="91"/>
      <c r="B1168" s="74">
        <v>1</v>
      </c>
      <c r="C1168" s="74" t="str">
        <f>'Unit tariffs'!B$87</f>
        <v xml:space="preserve">hour-artisan </v>
      </c>
      <c r="D1168" s="74"/>
      <c r="E1168" s="74"/>
      <c r="F1168" s="74"/>
      <c r="G1168" s="74"/>
      <c r="H1168" s="76">
        <v>322.85223173076923</v>
      </c>
      <c r="I1168" s="76">
        <f>VLOOKUP($C1168,'Unit tariffs'!$B$21:$F$123,5,FALSE)*$B1168</f>
        <v>351.19276615384621</v>
      </c>
      <c r="J1168" s="447"/>
    </row>
    <row r="1169" spans="1:10" ht="13" x14ac:dyDescent="0.3">
      <c r="A1169" s="91"/>
      <c r="B1169" s="74">
        <v>4</v>
      </c>
      <c r="C1169" s="74" t="str">
        <f>'Unit tariffs'!B$85</f>
        <v>hour-artisan assistant</v>
      </c>
      <c r="D1169" s="74"/>
      <c r="E1169" s="74"/>
      <c r="F1169" s="74"/>
      <c r="G1169" s="74"/>
      <c r="H1169" s="81">
        <v>514.14323076923085</v>
      </c>
      <c r="I1169" s="81">
        <f>VLOOKUP($C1169,'Unit tariffs'!$B$21:$F$123,5,FALSE)*$B1169</f>
        <v>559.29703384615391</v>
      </c>
      <c r="J1169" s="447"/>
    </row>
    <row r="1170" spans="1:10" ht="13" x14ac:dyDescent="0.3">
      <c r="A1170" s="91"/>
      <c r="B1170" s="74"/>
      <c r="C1170" s="74"/>
      <c r="D1170" s="74"/>
      <c r="E1170" s="74"/>
      <c r="F1170" s="74"/>
      <c r="G1170" s="74"/>
      <c r="H1170" s="76">
        <v>836.99546250000003</v>
      </c>
      <c r="I1170" s="76">
        <f>SUM(I1168:I1169)</f>
        <v>910.48980000000006</v>
      </c>
      <c r="J1170" s="105"/>
    </row>
    <row r="1171" spans="1:10" ht="13" x14ac:dyDescent="0.3">
      <c r="A1171" s="91"/>
      <c r="B1171" s="104" t="s">
        <v>43</v>
      </c>
      <c r="C1171" s="74"/>
      <c r="D1171" s="74"/>
      <c r="E1171" s="74"/>
      <c r="F1171" s="74"/>
      <c r="G1171" s="74"/>
      <c r="H1171" s="74"/>
      <c r="I1171" s="74"/>
      <c r="J1171" s="105"/>
    </row>
    <row r="1172" spans="1:10" ht="13" x14ac:dyDescent="0.3">
      <c r="A1172" s="91"/>
      <c r="B1172" s="74"/>
      <c r="C1172" s="74"/>
      <c r="D1172" s="74"/>
      <c r="E1172" s="74"/>
      <c r="F1172" s="74"/>
      <c r="G1172" s="74"/>
      <c r="H1172" s="74"/>
      <c r="I1172" s="74"/>
      <c r="J1172" s="105"/>
    </row>
    <row r="1173" spans="1:10" ht="13" x14ac:dyDescent="0.3">
      <c r="A1173" s="91"/>
      <c r="B1173" s="74">
        <v>28</v>
      </c>
      <c r="C1173" s="74" t="str">
        <f>'Unit tariffs'!B$111</f>
        <v>km-truck with platform</v>
      </c>
      <c r="D1173" s="74"/>
      <c r="E1173" s="74"/>
      <c r="F1173" s="74"/>
      <c r="G1173" s="74"/>
      <c r="H1173" s="76">
        <v>1179.3740973212612</v>
      </c>
      <c r="I1173" s="76">
        <f>VLOOKUP($C1173,'Unit tariffs'!$B$21:$F$123,5,FALSE)*$B1173</f>
        <v>1379.9330087804956</v>
      </c>
      <c r="J1173" s="95"/>
    </row>
    <row r="1174" spans="1:10" ht="13" x14ac:dyDescent="0.3">
      <c r="A1174" s="91"/>
      <c r="B1174" s="74">
        <v>1</v>
      </c>
      <c r="C1174" s="74" t="str">
        <f>'Unit tariffs'!B$112</f>
        <v>hour-truck with platform</v>
      </c>
      <c r="D1174" s="74"/>
      <c r="E1174" s="74"/>
      <c r="F1174" s="74"/>
      <c r="G1174" s="74"/>
      <c r="H1174" s="81">
        <v>204.98441731167313</v>
      </c>
      <c r="I1174" s="81">
        <f>VLOOKUP($C1174,'Unit tariffs'!$B$21:$F$123,5,FALSE)*$B1174</f>
        <v>239.8431204962792</v>
      </c>
      <c r="J1174" s="95"/>
    </row>
    <row r="1175" spans="1:10" ht="13" x14ac:dyDescent="0.3">
      <c r="A1175" s="91"/>
      <c r="B1175" s="74"/>
      <c r="C1175" s="74"/>
      <c r="D1175" s="74"/>
      <c r="E1175" s="74"/>
      <c r="F1175" s="74"/>
      <c r="G1175" s="74"/>
      <c r="H1175" s="76">
        <v>1384.3585146329342</v>
      </c>
      <c r="I1175" s="76">
        <f>SUM(I1173:I1174)</f>
        <v>1619.7761292767748</v>
      </c>
      <c r="J1175" s="105"/>
    </row>
    <row r="1176" spans="1:10" ht="13.5" thickBot="1" x14ac:dyDescent="0.35">
      <c r="A1176" s="91"/>
      <c r="B1176" s="74"/>
      <c r="C1176" s="74"/>
      <c r="D1176" s="74"/>
      <c r="E1176" s="74"/>
      <c r="F1176" s="74"/>
      <c r="G1176" s="74"/>
      <c r="H1176" s="108"/>
      <c r="I1176" s="108"/>
      <c r="J1176" s="105"/>
    </row>
    <row r="1177" spans="1:10" ht="13.5" thickTop="1" x14ac:dyDescent="0.3">
      <c r="A1177" s="91"/>
      <c r="B1177" s="74"/>
      <c r="C1177" s="74"/>
      <c r="D1177" s="74"/>
      <c r="E1177" s="74"/>
      <c r="F1177" s="74"/>
      <c r="G1177" s="76"/>
      <c r="H1177" s="76">
        <v>19409.91227306889</v>
      </c>
      <c r="I1177" s="76">
        <f>I1175+I1170+I1165+I1157</f>
        <v>12539.176002937525</v>
      </c>
      <c r="J1177" s="105"/>
    </row>
    <row r="1178" spans="1:10" ht="13.5" thickBot="1" x14ac:dyDescent="0.35">
      <c r="A1178" s="91"/>
      <c r="B1178" s="104" t="str">
        <f>'Unit tariffs'!$B$7</f>
        <v>Administration Levy (Indirect Cost)</v>
      </c>
      <c r="C1178" s="74"/>
      <c r="D1178" s="106">
        <f>'Unit tariffs'!$C$7</f>
        <v>0.1</v>
      </c>
      <c r="E1178" s="74" t="s">
        <v>311</v>
      </c>
      <c r="F1178" s="186">
        <f>+'Unit tariffs'!$F$7</f>
        <v>10000</v>
      </c>
      <c r="G1178" s="76"/>
      <c r="H1178" s="108">
        <v>1940.9912273068892</v>
      </c>
      <c r="I1178" s="108">
        <f>IF(I1177*$D1178&gt;='Unit tariffs'!$E$7,'Unit tariffs'!$E$7,I1177*$D1178)</f>
        <v>1253.9176002937527</v>
      </c>
      <c r="J1178" s="95"/>
    </row>
    <row r="1179" spans="1:10" ht="13.5" thickTop="1" x14ac:dyDescent="0.3">
      <c r="A1179" s="91"/>
      <c r="B1179" s="104" t="s">
        <v>44</v>
      </c>
      <c r="C1179" s="74"/>
      <c r="D1179" s="74"/>
      <c r="E1179" s="74"/>
      <c r="F1179" s="74"/>
      <c r="G1179" s="76"/>
      <c r="H1179" s="109">
        <v>21350.903500375778</v>
      </c>
      <c r="I1179" s="109">
        <f>SUM(I1177:I1178)</f>
        <v>13793.093603231278</v>
      </c>
      <c r="J1179" s="95"/>
    </row>
    <row r="1180" spans="1:10" ht="13" x14ac:dyDescent="0.3">
      <c r="A1180" s="91"/>
      <c r="B1180" s="104"/>
      <c r="C1180" s="74"/>
      <c r="D1180" s="74"/>
      <c r="E1180" s="74"/>
      <c r="F1180" s="74"/>
      <c r="G1180" s="76"/>
      <c r="H1180" s="76"/>
      <c r="I1180" s="76"/>
      <c r="J1180" s="105"/>
    </row>
    <row r="1181" spans="1:10" ht="13" x14ac:dyDescent="0.3">
      <c r="A1181" s="91"/>
      <c r="B1181" s="104" t="s">
        <v>45</v>
      </c>
      <c r="C1181" s="74"/>
      <c r="D1181" s="74"/>
      <c r="E1181" s="74"/>
      <c r="F1181" s="74"/>
      <c r="G1181" s="74"/>
      <c r="H1181" s="84">
        <v>21350</v>
      </c>
      <c r="I1181" s="84">
        <f>ROUND(I1179,-1)</f>
        <v>13790</v>
      </c>
      <c r="J1181" s="105"/>
    </row>
    <row r="1182" spans="1:10" ht="13" x14ac:dyDescent="0.3">
      <c r="A1182" s="91"/>
      <c r="H1182" s="76"/>
      <c r="I1182" s="76"/>
      <c r="J1182" s="105"/>
    </row>
    <row r="1183" spans="1:10" ht="13" x14ac:dyDescent="0.3">
      <c r="A1183" s="91"/>
      <c r="B1183" s="74"/>
      <c r="C1183" s="74"/>
      <c r="D1183" s="74"/>
      <c r="E1183" s="74"/>
      <c r="F1183" s="74"/>
      <c r="G1183" s="74"/>
      <c r="H1183" s="112">
        <v>0</v>
      </c>
      <c r="I1183" s="112">
        <f>(I1181-H1181)/H1181</f>
        <v>-0.35409836065573769</v>
      </c>
      <c r="J1183" s="105"/>
    </row>
    <row r="1184" spans="1:10" ht="13" x14ac:dyDescent="0.3">
      <c r="A1184" s="91"/>
      <c r="B1184" s="74"/>
      <c r="C1184" s="74"/>
      <c r="D1184" s="74"/>
      <c r="E1184" s="74"/>
      <c r="F1184" s="74"/>
      <c r="G1184" s="74"/>
      <c r="H1184" s="74"/>
      <c r="I1184" s="74"/>
      <c r="J1184" s="105"/>
    </row>
    <row r="1185" spans="1:10" ht="13" x14ac:dyDescent="0.3">
      <c r="A1185" s="91"/>
      <c r="B1185" s="74" t="s">
        <v>1</v>
      </c>
      <c r="C1185" s="74"/>
      <c r="D1185" s="74"/>
      <c r="E1185" s="74"/>
      <c r="F1185" s="74"/>
      <c r="G1185" s="74"/>
      <c r="H1185" s="74"/>
      <c r="I1185" s="74"/>
      <c r="J1185" s="105"/>
    </row>
    <row r="1186" spans="1:10" ht="13" x14ac:dyDescent="0.3">
      <c r="A1186" s="91"/>
      <c r="B1186" s="931" t="s">
        <v>540</v>
      </c>
      <c r="C1186" s="932"/>
      <c r="D1186" s="932"/>
      <c r="E1186" s="932"/>
      <c r="F1186" s="932"/>
      <c r="G1186" s="933"/>
      <c r="H1186" s="132" t="s">
        <v>232</v>
      </c>
      <c r="I1186" s="132" t="s">
        <v>232</v>
      </c>
      <c r="J1186" s="105"/>
    </row>
    <row r="1187" spans="1:10" ht="13" x14ac:dyDescent="0.3">
      <c r="A1187" s="91"/>
      <c r="B1187" s="74"/>
      <c r="C1187" s="74"/>
      <c r="D1187" s="74"/>
      <c r="E1187" s="74"/>
      <c r="F1187" s="74"/>
      <c r="G1187" s="74"/>
      <c r="H1187" s="103" t="str">
        <f>+'Unit tariffs'!$F$11</f>
        <v>2026/2027</v>
      </c>
      <c r="I1187" s="103" t="str">
        <f>+'Unit tariffs'!$F$11</f>
        <v>2026/2027</v>
      </c>
      <c r="J1187" s="105"/>
    </row>
    <row r="1188" spans="1:10" ht="13" x14ac:dyDescent="0.3">
      <c r="A1188" s="91"/>
      <c r="B1188" s="74"/>
      <c r="C1188" s="74"/>
      <c r="D1188" s="74"/>
      <c r="E1188" s="74"/>
      <c r="F1188" s="74"/>
      <c r="G1188" s="74"/>
      <c r="H1188" s="74"/>
      <c r="I1188" s="74"/>
      <c r="J1188" s="110"/>
    </row>
    <row r="1189" spans="1:10" ht="13" x14ac:dyDescent="0.3">
      <c r="A1189" s="91"/>
      <c r="B1189" s="104" t="s">
        <v>117</v>
      </c>
      <c r="C1189" s="74"/>
      <c r="D1189" s="74"/>
      <c r="E1189" s="74"/>
      <c r="F1189" s="74"/>
      <c r="G1189" s="74"/>
      <c r="H1189" s="127"/>
      <c r="I1189" s="127"/>
      <c r="J1189" s="105"/>
    </row>
    <row r="1190" spans="1:10" ht="13" x14ac:dyDescent="0.3">
      <c r="A1190" s="91"/>
      <c r="B1190" s="74" t="s">
        <v>118</v>
      </c>
      <c r="C1190" s="74"/>
      <c r="D1190" s="74"/>
      <c r="E1190" s="74"/>
      <c r="F1190" s="74"/>
      <c r="G1190" s="74"/>
      <c r="H1190" s="127"/>
      <c r="I1190" s="127"/>
      <c r="J1190" s="113"/>
    </row>
    <row r="1191" spans="1:10" ht="13" x14ac:dyDescent="0.3">
      <c r="A1191" s="91"/>
      <c r="B1191" s="74">
        <v>2.5</v>
      </c>
      <c r="C1191" s="74" t="str">
        <f>'Unit tariffs'!B$131</f>
        <v>Primary Backbone - Urban</v>
      </c>
      <c r="D1191" s="74"/>
      <c r="E1191" s="74"/>
      <c r="F1191" s="74" t="str">
        <f>'Unit tariffs'!C$131</f>
        <v>per kVA</v>
      </c>
      <c r="G1191" s="74"/>
      <c r="H1191" s="76">
        <v>3176.0685000000008</v>
      </c>
      <c r="I1191" s="76">
        <f>VLOOKUP($C1191,'Unit tariffs'!$B$21:$F$158,5,FALSE)*$B1191</f>
        <v>3588.7446084105004</v>
      </c>
      <c r="J1191" s="95"/>
    </row>
    <row r="1192" spans="1:10" ht="12" customHeight="1" x14ac:dyDescent="0.3">
      <c r="A1192" s="91"/>
      <c r="B1192" s="74">
        <v>2.5</v>
      </c>
      <c r="C1192" s="74" t="str">
        <f>'Unit tariffs'!B$133</f>
        <v>Secondary Backbone - LV Urban</v>
      </c>
      <c r="D1192" s="74"/>
      <c r="E1192" s="74"/>
      <c r="F1192" s="74" t="str">
        <f>'Unit tariffs'!C$132</f>
        <v>per kVA</v>
      </c>
      <c r="G1192" s="74"/>
      <c r="H1192" s="76">
        <v>2735.2957500000007</v>
      </c>
      <c r="I1192" s="76">
        <f>VLOOKUP($C1192,'Unit tariffs'!$B$21:$F$158,5,FALSE)*$B1192</f>
        <v>3090.700932684751</v>
      </c>
      <c r="J1192" s="95"/>
    </row>
    <row r="1193" spans="1:10" ht="13" x14ac:dyDescent="0.3">
      <c r="A1193" s="91"/>
      <c r="B1193" s="74">
        <v>2.5</v>
      </c>
      <c r="C1193" s="74" t="str">
        <f>'Unit tariffs'!B$134</f>
        <v>LV Backbone -Urban</v>
      </c>
      <c r="D1193" s="74"/>
      <c r="E1193" s="74"/>
      <c r="F1193" s="74" t="str">
        <f>'Unit tariffs'!C$133</f>
        <v>per kVA</v>
      </c>
      <c r="G1193" s="74"/>
      <c r="H1193" s="81">
        <v>1137.8235</v>
      </c>
      <c r="I1193" s="81">
        <f>VLOOKUP($C1193,'Unit tariffs'!$B$21:$F$158,5,FALSE)*$B1193</f>
        <v>1285.6643208255</v>
      </c>
      <c r="J1193" s="444"/>
    </row>
    <row r="1194" spans="1:10" ht="13" x14ac:dyDescent="0.3">
      <c r="A1194" s="91"/>
      <c r="B1194" s="74"/>
      <c r="C1194" s="74"/>
      <c r="D1194" s="74"/>
      <c r="E1194" s="74"/>
      <c r="F1194" s="74"/>
      <c r="G1194" s="74"/>
      <c r="H1194" s="76">
        <v>7049.187750000001</v>
      </c>
      <c r="I1194" s="76">
        <f>SUM(I1191:I1193)</f>
        <v>7965.1098619207514</v>
      </c>
      <c r="J1194" s="95"/>
    </row>
    <row r="1195" spans="1:10" ht="13" x14ac:dyDescent="0.3">
      <c r="A1195" s="91"/>
      <c r="B1195" s="104" t="s">
        <v>41</v>
      </c>
      <c r="C1195" s="74"/>
      <c r="D1195" s="74"/>
      <c r="E1195" s="74"/>
      <c r="F1195" s="74"/>
      <c r="G1195" s="74"/>
      <c r="H1195" s="74"/>
      <c r="I1195" s="74"/>
      <c r="J1195" s="450"/>
    </row>
    <row r="1196" spans="1:10" ht="13" x14ac:dyDescent="0.3">
      <c r="A1196" s="91"/>
      <c r="B1196" s="74"/>
      <c r="C1196" s="74"/>
      <c r="D1196" s="74"/>
      <c r="E1196" s="74"/>
      <c r="F1196" s="74"/>
      <c r="G1196" s="74"/>
      <c r="H1196" s="74"/>
      <c r="I1196" s="74"/>
      <c r="J1196" s="444" t="s">
        <v>313</v>
      </c>
    </row>
    <row r="1197" spans="1:10" ht="13" x14ac:dyDescent="0.3">
      <c r="A1197" s="91"/>
      <c r="B1197" s="74">
        <v>1</v>
      </c>
      <c r="C1197" s="74" t="str">
        <f>+'Unit tariffs'!B35</f>
        <v>Prepaid meter (Split) 1 phase 59A Unique Mbani</v>
      </c>
      <c r="D1197" s="74"/>
      <c r="E1197" s="74"/>
      <c r="F1197" s="74"/>
      <c r="G1197" s="74"/>
      <c r="H1197" s="189">
        <v>2262.7591214051877</v>
      </c>
      <c r="I1197" s="189">
        <f>VLOOKUP($C1197,'Unit tariffs'!$B$21:$F$123,5,FALSE)*$B1197</f>
        <v>1214.6779749999998</v>
      </c>
      <c r="J1197" s="457" t="e">
        <f>IF(+I1197*'Unit tariffs'!#REF!&gt;'Unit tariffs'!#REF!,'Unit tariffs'!#REF!,+I1197*'Unit tariffs'!#REF!)</f>
        <v>#REF!</v>
      </c>
    </row>
    <row r="1198" spans="1:10" ht="13" x14ac:dyDescent="0.3">
      <c r="A1198" s="91"/>
      <c r="B1198" s="74">
        <v>3</v>
      </c>
      <c r="C1198" s="74" t="str">
        <f>'Unit tariffs'!B43</f>
        <v>x 80 A circuit breaker (5kA) - Orange</v>
      </c>
      <c r="D1198" s="74"/>
      <c r="E1198" s="74"/>
      <c r="F1198" s="74"/>
      <c r="G1198" s="74"/>
      <c r="H1198" s="76">
        <v>587.413658244972</v>
      </c>
      <c r="I1198" s="76">
        <f>VLOOKUP($C1198,'Unit tariffs'!$B$21:$F$123,5,FALSE)*$B1198</f>
        <v>0</v>
      </c>
      <c r="J1198" s="457" t="e">
        <f>IF(+I1198*'Unit tariffs'!#REF!&gt;'Unit tariffs'!#REF!,'Unit tariffs'!#REF!,+I1198*'Unit tariffs'!#REF!)</f>
        <v>#REF!</v>
      </c>
    </row>
    <row r="1199" spans="1:10" ht="13" x14ac:dyDescent="0.3">
      <c r="A1199" s="91"/>
      <c r="B1199" s="74">
        <v>1</v>
      </c>
      <c r="C1199" s="74" t="str">
        <f>'Unit tariffs'!B72</f>
        <v>Cable clamp (Clampex) - K26</v>
      </c>
      <c r="D1199" s="74"/>
      <c r="E1199" s="74"/>
      <c r="F1199" s="74"/>
      <c r="G1199" s="74"/>
      <c r="H1199" s="76">
        <v>34.833456142903692</v>
      </c>
      <c r="I1199" s="76">
        <f>VLOOKUP($C1199,'Unit tariffs'!$B$21:$F$123,5,FALSE)*$B1199</f>
        <v>1423.2410081400001</v>
      </c>
      <c r="J1199" s="457" t="e">
        <f>IF(+I1199*'Unit tariffs'!#REF!&gt;'Unit tariffs'!#REF!,'Unit tariffs'!#REF!,+I1199*'Unit tariffs'!#REF!)</f>
        <v>#REF!</v>
      </c>
    </row>
    <row r="1200" spans="1:10" ht="13" x14ac:dyDescent="0.3">
      <c r="A1200" s="91"/>
      <c r="B1200" s="74">
        <v>1</v>
      </c>
      <c r="C1200" s="74" t="str">
        <f>'Unit tariffs'!B21</f>
        <v>Installation material</v>
      </c>
      <c r="D1200" s="74"/>
      <c r="E1200" s="74"/>
      <c r="F1200" s="74"/>
      <c r="G1200" s="74"/>
      <c r="H1200" s="81">
        <v>271.44100000000003</v>
      </c>
      <c r="I1200" s="81">
        <f>VLOOKUP($C1200,'Unit tariffs'!$B$21:$F$123,5,FALSE)*$B1200</f>
        <v>282.48325</v>
      </c>
      <c r="J1200" s="457" t="e">
        <f>IF(+I1200*'Unit tariffs'!#REF!&gt;'Unit tariffs'!#REF!,'Unit tariffs'!#REF!,+I1200*'Unit tariffs'!#REF!)</f>
        <v>#REF!</v>
      </c>
    </row>
    <row r="1201" spans="1:11" ht="13" x14ac:dyDescent="0.3">
      <c r="A1201" s="91"/>
      <c r="B1201" s="74"/>
      <c r="C1201" s="74"/>
      <c r="D1201" s="74"/>
      <c r="E1201" s="74"/>
      <c r="F1201" s="74"/>
      <c r="G1201" s="76"/>
      <c r="H1201" s="76">
        <v>3156.4472357930636</v>
      </c>
      <c r="I1201" s="76">
        <f>SUM(I1197:I1200)</f>
        <v>2920.4022331400001</v>
      </c>
      <c r="J1201" s="447"/>
    </row>
    <row r="1202" spans="1:11" ht="13" x14ac:dyDescent="0.3">
      <c r="A1202" s="91"/>
      <c r="B1202" s="104" t="s">
        <v>42</v>
      </c>
      <c r="C1202" s="74"/>
      <c r="D1202" s="74"/>
      <c r="E1202" s="74"/>
      <c r="F1202" s="74"/>
      <c r="G1202" s="74"/>
      <c r="H1202" s="74"/>
      <c r="I1202" s="74"/>
      <c r="J1202" s="447"/>
    </row>
    <row r="1203" spans="1:11" ht="13" x14ac:dyDescent="0.3">
      <c r="A1203" s="91"/>
      <c r="B1203" s="74"/>
      <c r="C1203" s="74"/>
      <c r="D1203" s="74"/>
      <c r="E1203" s="74"/>
      <c r="F1203" s="74"/>
      <c r="G1203" s="74"/>
      <c r="H1203" s="74"/>
      <c r="I1203" s="74"/>
      <c r="J1203" s="447"/>
    </row>
    <row r="1204" spans="1:11" ht="13" x14ac:dyDescent="0.3">
      <c r="A1204" s="91"/>
      <c r="B1204" s="74">
        <v>1</v>
      </c>
      <c r="C1204" s="74" t="str">
        <f>'Unit tariffs'!B$87</f>
        <v xml:space="preserve">hour-artisan </v>
      </c>
      <c r="D1204" s="74"/>
      <c r="E1204" s="74"/>
      <c r="F1204" s="74"/>
      <c r="G1204" s="74"/>
      <c r="H1204" s="76">
        <v>322.85223173076923</v>
      </c>
      <c r="I1204" s="76">
        <f>VLOOKUP($C1204,'Unit tariffs'!$B$21:$F$123,5,FALSE)*$B1204</f>
        <v>351.19276615384621</v>
      </c>
      <c r="J1204" s="105"/>
    </row>
    <row r="1205" spans="1:11" ht="13" x14ac:dyDescent="0.3">
      <c r="A1205" s="91"/>
      <c r="B1205" s="74">
        <v>4</v>
      </c>
      <c r="C1205" s="74" t="str">
        <f>'Unit tariffs'!B$85</f>
        <v>hour-artisan assistant</v>
      </c>
      <c r="D1205" s="74"/>
      <c r="E1205" s="74"/>
      <c r="F1205" s="74"/>
      <c r="G1205" s="74"/>
      <c r="H1205" s="81">
        <v>514.14323076923085</v>
      </c>
      <c r="I1205" s="81">
        <f>VLOOKUP($C1205,'Unit tariffs'!$B$21:$F$123,5,FALSE)*$B1205</f>
        <v>559.29703384615391</v>
      </c>
      <c r="J1205" s="105"/>
      <c r="K1205" s="86" t="s">
        <v>1</v>
      </c>
    </row>
    <row r="1206" spans="1:11" ht="13" x14ac:dyDescent="0.3">
      <c r="A1206" s="91"/>
      <c r="B1206" s="74"/>
      <c r="C1206" s="74"/>
      <c r="D1206" s="74"/>
      <c r="E1206" s="74"/>
      <c r="F1206" s="74"/>
      <c r="G1206" s="74"/>
      <c r="H1206" s="76">
        <v>836.99546250000003</v>
      </c>
      <c r="I1206" s="76">
        <f>SUM(I1204:I1205)</f>
        <v>910.48980000000006</v>
      </c>
      <c r="J1206" s="105"/>
    </row>
    <row r="1207" spans="1:11" ht="13" x14ac:dyDescent="0.3">
      <c r="A1207" s="91"/>
      <c r="B1207" s="104" t="s">
        <v>43</v>
      </c>
      <c r="C1207" s="74"/>
      <c r="D1207" s="74"/>
      <c r="E1207" s="74"/>
      <c r="F1207" s="74"/>
      <c r="G1207" s="74"/>
      <c r="H1207" s="74"/>
      <c r="I1207" s="74"/>
      <c r="J1207" s="95"/>
    </row>
    <row r="1208" spans="1:11" ht="13" x14ac:dyDescent="0.3">
      <c r="A1208" s="91"/>
      <c r="B1208" s="74"/>
      <c r="C1208" s="74"/>
      <c r="D1208" s="74"/>
      <c r="E1208" s="74"/>
      <c r="F1208" s="74"/>
      <c r="G1208" s="74"/>
      <c r="H1208" s="74"/>
      <c r="I1208" s="74"/>
      <c r="J1208" s="95"/>
    </row>
    <row r="1209" spans="1:11" ht="13" x14ac:dyDescent="0.3">
      <c r="A1209" s="91"/>
      <c r="B1209" s="74">
        <v>28</v>
      </c>
      <c r="C1209" s="74" t="str">
        <f>'Unit tariffs'!B$111</f>
        <v>km-truck with platform</v>
      </c>
      <c r="D1209" s="74"/>
      <c r="E1209" s="74"/>
      <c r="F1209" s="74"/>
      <c r="G1209" s="74"/>
      <c r="H1209" s="76">
        <v>1179.3740973212612</v>
      </c>
      <c r="I1209" s="76">
        <f>VLOOKUP($C1209,'Unit tariffs'!$B$21:$F$123,5,FALSE)*$B1209</f>
        <v>1379.9330087804956</v>
      </c>
      <c r="J1209" s="105"/>
    </row>
    <row r="1210" spans="1:11" ht="13" x14ac:dyDescent="0.3">
      <c r="A1210" s="91"/>
      <c r="B1210" s="74">
        <v>1</v>
      </c>
      <c r="C1210" s="74" t="str">
        <f>'Unit tariffs'!B$112</f>
        <v>hour-truck with platform</v>
      </c>
      <c r="D1210" s="74"/>
      <c r="E1210" s="74"/>
      <c r="F1210" s="74"/>
      <c r="G1210" s="74"/>
      <c r="H1210" s="81">
        <v>204.98441731167313</v>
      </c>
      <c r="I1210" s="81">
        <f>VLOOKUP($C1210,'Unit tariffs'!$B$21:$F$123,5,FALSE)*$B1210</f>
        <v>239.8431204962792</v>
      </c>
      <c r="J1210" s="105"/>
    </row>
    <row r="1211" spans="1:11" ht="13" x14ac:dyDescent="0.3">
      <c r="A1211" s="91"/>
      <c r="B1211" s="74"/>
      <c r="C1211" s="74"/>
      <c r="D1211" s="74"/>
      <c r="E1211" s="74"/>
      <c r="F1211" s="74"/>
      <c r="G1211" s="74"/>
      <c r="H1211" s="76">
        <v>1384.3585146329342</v>
      </c>
      <c r="I1211" s="76">
        <f>SUM(I1209:I1210)</f>
        <v>1619.7761292767748</v>
      </c>
      <c r="J1211" s="105"/>
    </row>
    <row r="1212" spans="1:11" ht="13.5" thickBot="1" x14ac:dyDescent="0.35">
      <c r="A1212" s="91"/>
      <c r="B1212" s="74"/>
      <c r="C1212" s="74"/>
      <c r="D1212" s="74"/>
      <c r="E1212" s="74"/>
      <c r="F1212" s="74"/>
      <c r="G1212" s="74"/>
      <c r="H1212" s="108"/>
      <c r="I1212" s="108"/>
      <c r="J1212" s="95"/>
    </row>
    <row r="1213" spans="1:11" ht="13.5" thickTop="1" x14ac:dyDescent="0.3">
      <c r="A1213" s="91"/>
      <c r="B1213" s="74"/>
      <c r="C1213" s="74"/>
      <c r="D1213" s="74"/>
      <c r="E1213" s="74"/>
      <c r="F1213" s="74"/>
      <c r="G1213" s="76"/>
      <c r="H1213" s="76">
        <v>12426.988962926</v>
      </c>
      <c r="I1213" s="76">
        <f>I1211+I1206+I1201+I1194</f>
        <v>13415.778024337527</v>
      </c>
      <c r="J1213" s="95"/>
    </row>
    <row r="1214" spans="1:11" ht="13.5" thickBot="1" x14ac:dyDescent="0.35">
      <c r="A1214" s="91"/>
      <c r="B1214" s="104" t="str">
        <f>'Unit tariffs'!$B$7</f>
        <v>Administration Levy (Indirect Cost)</v>
      </c>
      <c r="C1214" s="74"/>
      <c r="D1214" s="106">
        <f>'Unit tariffs'!$C$7</f>
        <v>0.1</v>
      </c>
      <c r="E1214" s="74" t="s">
        <v>311</v>
      </c>
      <c r="F1214" s="186">
        <f>+'Unit tariffs'!$F$7</f>
        <v>10000</v>
      </c>
      <c r="G1214" s="76"/>
      <c r="H1214" s="108">
        <v>1242.6988962926</v>
      </c>
      <c r="I1214" s="108">
        <f>IF(I1213*$D1214&gt;='Unit tariffs'!$E$7,'Unit tariffs'!$E$7,I1213*$D1214)</f>
        <v>1341.5778024337528</v>
      </c>
      <c r="J1214" s="105"/>
    </row>
    <row r="1215" spans="1:11" ht="13.5" thickTop="1" x14ac:dyDescent="0.3">
      <c r="A1215" s="91"/>
      <c r="B1215" s="104" t="s">
        <v>44</v>
      </c>
      <c r="C1215" s="74"/>
      <c r="D1215" s="74"/>
      <c r="E1215" s="74"/>
      <c r="F1215" s="74"/>
      <c r="G1215" s="76"/>
      <c r="H1215" s="109">
        <v>13669.6878592186</v>
      </c>
      <c r="I1215" s="109">
        <f>SUM(I1213:I1214)</f>
        <v>14757.35582677128</v>
      </c>
      <c r="J1215" s="105"/>
    </row>
    <row r="1216" spans="1:11" ht="13" x14ac:dyDescent="0.3">
      <c r="A1216" s="91"/>
      <c r="B1216" s="104"/>
      <c r="C1216" s="74"/>
      <c r="D1216" s="74"/>
      <c r="E1216" s="74"/>
      <c r="F1216" s="74"/>
      <c r="G1216" s="76"/>
      <c r="H1216" s="76"/>
      <c r="I1216" s="76"/>
      <c r="J1216" s="105"/>
    </row>
    <row r="1217" spans="1:10" ht="13" x14ac:dyDescent="0.3">
      <c r="A1217" s="91"/>
      <c r="B1217" s="104" t="s">
        <v>45</v>
      </c>
      <c r="C1217" s="74"/>
      <c r="D1217" s="74"/>
      <c r="E1217" s="74"/>
      <c r="F1217" s="74"/>
      <c r="G1217" s="74"/>
      <c r="H1217" s="84">
        <v>13670</v>
      </c>
      <c r="I1217" s="84">
        <f>ROUND(I1215,-1)</f>
        <v>14760</v>
      </c>
      <c r="J1217" s="105"/>
    </row>
    <row r="1218" spans="1:10" ht="13" x14ac:dyDescent="0.3">
      <c r="A1218" s="91"/>
      <c r="H1218" s="76"/>
      <c r="I1218" s="76"/>
      <c r="J1218" s="105"/>
    </row>
    <row r="1219" spans="1:10" ht="13" x14ac:dyDescent="0.3">
      <c r="A1219" s="91"/>
      <c r="B1219" s="74"/>
      <c r="C1219" s="74"/>
      <c r="D1219" s="74"/>
      <c r="E1219" s="74"/>
      <c r="F1219" s="74"/>
      <c r="G1219" s="74"/>
      <c r="H1219" s="112">
        <v>0</v>
      </c>
      <c r="I1219" s="112">
        <f>(I1217-H1217)/H1217</f>
        <v>7.9736649597659109E-2</v>
      </c>
      <c r="J1219" s="105"/>
    </row>
    <row r="1220" spans="1:10" ht="13.5" thickBot="1" x14ac:dyDescent="0.35">
      <c r="A1220" s="448"/>
      <c r="B1220" s="123"/>
      <c r="C1220" s="123"/>
      <c r="D1220" s="123"/>
      <c r="E1220" s="123"/>
      <c r="F1220" s="123"/>
      <c r="G1220" s="123"/>
      <c r="H1220" s="123"/>
      <c r="I1220" s="123"/>
      <c r="J1220" s="105"/>
    </row>
    <row r="1221" spans="1:10" ht="13.5" thickTop="1" x14ac:dyDescent="0.3">
      <c r="A1221" s="445"/>
      <c r="B1221" s="74"/>
      <c r="C1221" s="74"/>
      <c r="D1221" s="74"/>
      <c r="E1221" s="74"/>
      <c r="F1221" s="74"/>
      <c r="G1221" s="74"/>
      <c r="H1221" s="120"/>
      <c r="I1221" s="120"/>
      <c r="J1221" s="105"/>
    </row>
    <row r="1222" spans="1:10" ht="13" x14ac:dyDescent="0.3">
      <c r="A1222" s="91"/>
      <c r="B1222" s="74" t="s">
        <v>1</v>
      </c>
      <c r="C1222" s="74"/>
      <c r="D1222" s="74"/>
      <c r="E1222" s="74"/>
      <c r="F1222" s="74"/>
      <c r="G1222" s="74"/>
      <c r="H1222" s="74"/>
      <c r="I1222" s="74"/>
      <c r="J1222" s="110"/>
    </row>
    <row r="1223" spans="1:10" ht="13" x14ac:dyDescent="0.3">
      <c r="A1223" s="91"/>
      <c r="B1223" s="931" t="s">
        <v>541</v>
      </c>
      <c r="C1223" s="932"/>
      <c r="D1223" s="932"/>
      <c r="E1223" s="932"/>
      <c r="F1223" s="932"/>
      <c r="G1223" s="933"/>
      <c r="H1223" s="132" t="s">
        <v>233</v>
      </c>
      <c r="I1223" s="132" t="s">
        <v>233</v>
      </c>
      <c r="J1223" s="105"/>
    </row>
    <row r="1224" spans="1:10" ht="13" x14ac:dyDescent="0.3">
      <c r="A1224" s="91"/>
      <c r="B1224" s="74"/>
      <c r="C1224" s="74"/>
      <c r="D1224" s="74"/>
      <c r="E1224" s="74"/>
      <c r="F1224" s="74"/>
      <c r="G1224" s="74"/>
      <c r="H1224" s="103" t="str">
        <f>+'Unit tariffs'!$F$11</f>
        <v>2026/2027</v>
      </c>
      <c r="I1224" s="103" t="str">
        <f>+'Unit tariffs'!$F$11</f>
        <v>2026/2027</v>
      </c>
      <c r="J1224" s="113"/>
    </row>
    <row r="1225" spans="1:10" ht="13" x14ac:dyDescent="0.3">
      <c r="A1225" s="91"/>
      <c r="B1225" s="74"/>
      <c r="C1225" s="74"/>
      <c r="D1225" s="74"/>
      <c r="E1225" s="74"/>
      <c r="F1225" s="74"/>
      <c r="G1225" s="74"/>
      <c r="H1225" s="74"/>
      <c r="I1225" s="74"/>
      <c r="J1225" s="95"/>
    </row>
    <row r="1226" spans="1:10" ht="13" x14ac:dyDescent="0.3">
      <c r="A1226" s="91"/>
      <c r="B1226" s="104" t="s">
        <v>117</v>
      </c>
      <c r="C1226" s="74"/>
      <c r="D1226" s="74"/>
      <c r="E1226" s="74"/>
      <c r="F1226" s="74"/>
      <c r="G1226" s="74"/>
      <c r="H1226" s="127"/>
      <c r="I1226" s="127"/>
      <c r="J1226" s="95"/>
    </row>
    <row r="1227" spans="1:10" ht="21.75" customHeight="1" x14ac:dyDescent="0.3">
      <c r="A1227" s="91"/>
      <c r="B1227" s="74" t="s">
        <v>118</v>
      </c>
      <c r="C1227" s="74"/>
      <c r="D1227" s="74"/>
      <c r="E1227" s="74"/>
      <c r="F1227" s="74"/>
      <c r="G1227" s="74"/>
      <c r="H1227" s="127"/>
      <c r="I1227" s="127"/>
      <c r="J1227" s="95"/>
    </row>
    <row r="1228" spans="1:10" ht="13" x14ac:dyDescent="0.3">
      <c r="A1228" s="91"/>
      <c r="B1228" s="74">
        <v>2.5</v>
      </c>
      <c r="C1228" s="74" t="str">
        <f>'Unit tariffs'!B$133</f>
        <v>Secondary Backbone - LV Urban</v>
      </c>
      <c r="D1228" s="74"/>
      <c r="E1228" s="74"/>
      <c r="F1228" s="74" t="str">
        <f>'Unit tariffs'!C$132</f>
        <v>per kVA</v>
      </c>
      <c r="G1228" s="74"/>
      <c r="H1228" s="76">
        <v>2735.2957500000007</v>
      </c>
      <c r="I1228" s="76">
        <f>VLOOKUP($C1228,'Unit tariffs'!$B$21:$F$158,5,FALSE)*$B1228</f>
        <v>3090.700932684751</v>
      </c>
      <c r="J1228" s="444"/>
    </row>
    <row r="1229" spans="1:10" ht="13" x14ac:dyDescent="0.3">
      <c r="A1229" s="91"/>
      <c r="B1229" s="74">
        <v>2.5</v>
      </c>
      <c r="C1229" s="74" t="str">
        <f>'Unit tariffs'!B$134</f>
        <v>LV Backbone -Urban</v>
      </c>
      <c r="D1229" s="74"/>
      <c r="E1229" s="74"/>
      <c r="F1229" s="74" t="str">
        <f>'Unit tariffs'!C$133</f>
        <v>per kVA</v>
      </c>
      <c r="G1229" s="74"/>
      <c r="H1229" s="81">
        <v>1137.8235</v>
      </c>
      <c r="I1229" s="81">
        <f>VLOOKUP($C1229,'Unit tariffs'!$B$21:$F$158,5,FALSE)*$B1229</f>
        <v>1285.6643208255</v>
      </c>
      <c r="J1229" s="450"/>
    </row>
    <row r="1230" spans="1:10" ht="13" x14ac:dyDescent="0.3">
      <c r="A1230" s="91"/>
      <c r="B1230" s="74"/>
      <c r="C1230" s="74"/>
      <c r="D1230" s="74"/>
      <c r="E1230" s="74"/>
      <c r="F1230" s="74"/>
      <c r="G1230" s="74"/>
      <c r="H1230" s="76">
        <v>3873.1192500000006</v>
      </c>
      <c r="I1230" s="76">
        <f>SUM(I1228:I1229)</f>
        <v>4376.365253510251</v>
      </c>
      <c r="J1230" s="450"/>
    </row>
    <row r="1231" spans="1:10" ht="13" x14ac:dyDescent="0.3">
      <c r="A1231" s="91"/>
      <c r="B1231" s="104" t="s">
        <v>41</v>
      </c>
      <c r="C1231" s="74"/>
      <c r="D1231" s="74"/>
      <c r="E1231" s="74"/>
      <c r="F1231" s="74"/>
      <c r="G1231" s="74"/>
      <c r="H1231" s="74"/>
      <c r="I1231" s="74"/>
      <c r="J1231" s="450"/>
    </row>
    <row r="1232" spans="1:10" ht="13" x14ac:dyDescent="0.3">
      <c r="A1232" s="91"/>
      <c r="B1232" s="74"/>
      <c r="C1232" s="74"/>
      <c r="D1232" s="74"/>
      <c r="E1232" s="74"/>
      <c r="F1232" s="74"/>
      <c r="G1232" s="74"/>
      <c r="H1232" s="74"/>
      <c r="I1232" s="74"/>
      <c r="J1232" s="444" t="s">
        <v>313</v>
      </c>
    </row>
    <row r="1233" spans="1:10" ht="13" x14ac:dyDescent="0.3">
      <c r="A1233" s="91"/>
      <c r="B1233" s="74">
        <v>1</v>
      </c>
      <c r="C1233" s="74" t="str">
        <f>'Unit tariffs'!B46</f>
        <v>METER: TIME OF USE 100 AMP</v>
      </c>
      <c r="D1233" s="74"/>
      <c r="E1233" s="74"/>
      <c r="F1233" s="85"/>
      <c r="G1233" s="74"/>
      <c r="H1233" s="76">
        <v>5538.1406043608804</v>
      </c>
      <c r="I1233" s="76">
        <f>VLOOKUP($C1233,'Unit tariffs'!$B$21:$F$123,5,FALSE)*$B1233</f>
        <v>0</v>
      </c>
      <c r="J1233" s="457" t="e">
        <f>IF(+I1233*'Unit tariffs'!#REF!&gt;'Unit tariffs'!#REF!,'Unit tariffs'!#REF!,+I1233*'Unit tariffs'!#REF!)</f>
        <v>#REF!</v>
      </c>
    </row>
    <row r="1234" spans="1:10" ht="13" x14ac:dyDescent="0.3">
      <c r="A1234" s="91"/>
      <c r="B1234" s="74">
        <v>1</v>
      </c>
      <c r="C1234" s="74" t="s">
        <v>230</v>
      </c>
      <c r="D1234" s="74"/>
      <c r="E1234" s="74"/>
      <c r="F1234" s="74"/>
      <c r="G1234" s="74"/>
      <c r="H1234" s="76">
        <v>3707.5418271871995</v>
      </c>
      <c r="I1234" s="76">
        <f>VLOOKUP($C1234,'Unit tariffs'!$B$21:$F$123,5,FALSE)*$B1234</f>
        <v>338.07595359999993</v>
      </c>
      <c r="J1234" s="457" t="e">
        <f>IF(+I1234*'Unit tariffs'!#REF!&gt;'Unit tariffs'!#REF!,'Unit tariffs'!#REF!,+I1234*'Unit tariffs'!#REF!)</f>
        <v>#REF!</v>
      </c>
    </row>
    <row r="1235" spans="1:10" ht="13" x14ac:dyDescent="0.3">
      <c r="A1235" s="91"/>
      <c r="B1235" s="74">
        <v>3</v>
      </c>
      <c r="C1235" s="74" t="str">
        <f>'Unit tariffs'!B43</f>
        <v>x 80 A circuit breaker (5kA) - Orange</v>
      </c>
      <c r="D1235" s="74"/>
      <c r="E1235" s="74"/>
      <c r="F1235" s="74"/>
      <c r="G1235" s="74"/>
      <c r="H1235" s="76">
        <v>587.413658244972</v>
      </c>
      <c r="I1235" s="76">
        <f>VLOOKUP($C1235,'Unit tariffs'!$B$21:$F$123,5,FALSE)*$B1235</f>
        <v>0</v>
      </c>
      <c r="J1235" s="457" t="e">
        <f>IF(+I1235*'Unit tariffs'!#REF!&gt;'Unit tariffs'!#REF!,'Unit tariffs'!#REF!,+I1235*'Unit tariffs'!#REF!)</f>
        <v>#REF!</v>
      </c>
    </row>
    <row r="1236" spans="1:10" ht="13" x14ac:dyDescent="0.3">
      <c r="A1236" s="91"/>
      <c r="B1236" s="74">
        <v>1</v>
      </c>
      <c r="C1236" s="74" t="str">
        <f>'Unit tariffs'!B72</f>
        <v>Cable clamp (Clampex) - K26</v>
      </c>
      <c r="D1236" s="74"/>
      <c r="E1236" s="74"/>
      <c r="F1236" s="74"/>
      <c r="G1236" s="74"/>
      <c r="H1236" s="76">
        <v>34.833456142903692</v>
      </c>
      <c r="I1236" s="76">
        <f>VLOOKUP($C1236,'Unit tariffs'!$B$21:$F$123,5,FALSE)*$B1236</f>
        <v>1423.2410081400001</v>
      </c>
      <c r="J1236" s="457" t="e">
        <f>IF(+I1236*'Unit tariffs'!#REF!&gt;'Unit tariffs'!#REF!,'Unit tariffs'!#REF!,+I1236*'Unit tariffs'!#REF!)</f>
        <v>#REF!</v>
      </c>
    </row>
    <row r="1237" spans="1:10" ht="13" x14ac:dyDescent="0.3">
      <c r="A1237" s="91"/>
      <c r="B1237" s="74">
        <v>1.5</v>
      </c>
      <c r="C1237" s="74" t="str">
        <f>'Unit tariffs'!B21</f>
        <v>Installation material</v>
      </c>
      <c r="D1237" s="74"/>
      <c r="E1237" s="74"/>
      <c r="F1237" s="74"/>
      <c r="G1237" s="74"/>
      <c r="H1237" s="81">
        <v>407.16150000000005</v>
      </c>
      <c r="I1237" s="81">
        <f>VLOOKUP($C1237,'Unit tariffs'!$B$21:$F$123,5,FALSE)*$B1237</f>
        <v>423.724875</v>
      </c>
      <c r="J1237" s="457" t="e">
        <f>IF(+I1237*'Unit tariffs'!#REF!&gt;'Unit tariffs'!#REF!,'Unit tariffs'!#REF!,+I1237*'Unit tariffs'!#REF!)</f>
        <v>#REF!</v>
      </c>
    </row>
    <row r="1238" spans="1:10" ht="13" x14ac:dyDescent="0.3">
      <c r="A1238" s="91"/>
      <c r="B1238" s="74"/>
      <c r="C1238" s="74"/>
      <c r="D1238" s="74"/>
      <c r="E1238" s="74"/>
      <c r="F1238" s="74"/>
      <c r="G1238" s="76"/>
      <c r="H1238" s="76">
        <v>10275.091045935957</v>
      </c>
      <c r="I1238" s="76">
        <f>SUM(I1233:I1237)</f>
        <v>2185.0418367399998</v>
      </c>
      <c r="J1238" s="447"/>
    </row>
    <row r="1239" spans="1:10" ht="13" x14ac:dyDescent="0.3">
      <c r="A1239" s="91"/>
      <c r="B1239" s="104" t="s">
        <v>42</v>
      </c>
      <c r="C1239" s="74"/>
      <c r="D1239" s="74"/>
      <c r="E1239" s="74"/>
      <c r="F1239" s="74"/>
      <c r="G1239" s="74"/>
      <c r="H1239" s="74"/>
      <c r="I1239" s="74"/>
      <c r="J1239" s="447"/>
    </row>
    <row r="1240" spans="1:10" ht="13" x14ac:dyDescent="0.3">
      <c r="A1240" s="91"/>
      <c r="B1240" s="74"/>
      <c r="C1240" s="74"/>
      <c r="D1240" s="74"/>
      <c r="E1240" s="74"/>
      <c r="F1240" s="74"/>
      <c r="G1240" s="74"/>
      <c r="H1240" s="74"/>
      <c r="I1240" s="74"/>
      <c r="J1240" s="105"/>
    </row>
    <row r="1241" spans="1:10" ht="13" x14ac:dyDescent="0.3">
      <c r="A1241" s="91"/>
      <c r="B1241" s="74">
        <v>2</v>
      </c>
      <c r="C1241" s="74" t="str">
        <f>'Unit tariffs'!B$87</f>
        <v xml:space="preserve">hour-artisan </v>
      </c>
      <c r="D1241" s="74"/>
      <c r="E1241" s="74"/>
      <c r="F1241" s="74"/>
      <c r="G1241" s="74"/>
      <c r="H1241" s="76">
        <v>645.70446346153847</v>
      </c>
      <c r="I1241" s="76">
        <f>VLOOKUP($C1241,'Unit tariffs'!$B$21:$F$123,5,FALSE)*$B1241</f>
        <v>702.38553230769242</v>
      </c>
      <c r="J1241" s="105"/>
    </row>
    <row r="1242" spans="1:10" ht="13" x14ac:dyDescent="0.3">
      <c r="A1242" s="91"/>
      <c r="B1242" s="74">
        <v>2</v>
      </c>
      <c r="C1242" s="74" t="str">
        <f>'Unit tariffs'!B$85</f>
        <v>hour-artisan assistant</v>
      </c>
      <c r="D1242" s="74"/>
      <c r="E1242" s="74"/>
      <c r="F1242" s="74"/>
      <c r="G1242" s="74"/>
      <c r="H1242" s="81">
        <v>257.07161538461543</v>
      </c>
      <c r="I1242" s="81">
        <f>VLOOKUP($C1242,'Unit tariffs'!$B$21:$F$123,5,FALSE)*$B1242</f>
        <v>279.64851692307695</v>
      </c>
      <c r="J1242" s="105"/>
    </row>
    <row r="1243" spans="1:10" ht="13" x14ac:dyDescent="0.3">
      <c r="A1243" s="91"/>
      <c r="B1243" s="74"/>
      <c r="C1243" s="74"/>
      <c r="D1243" s="74"/>
      <c r="E1243" s="74"/>
      <c r="F1243" s="74"/>
      <c r="G1243" s="74"/>
      <c r="H1243" s="76">
        <v>902.77607884615395</v>
      </c>
      <c r="I1243" s="76">
        <f>SUM(I1241:I1242)</f>
        <v>982.03404923076937</v>
      </c>
      <c r="J1243" s="95"/>
    </row>
    <row r="1244" spans="1:10" ht="13" x14ac:dyDescent="0.3">
      <c r="A1244" s="91"/>
      <c r="B1244" s="104" t="s">
        <v>43</v>
      </c>
      <c r="C1244" s="74"/>
      <c r="D1244" s="74"/>
      <c r="E1244" s="74"/>
      <c r="F1244" s="74"/>
      <c r="G1244" s="74"/>
      <c r="H1244" s="74"/>
      <c r="I1244" s="74"/>
      <c r="J1244" s="95"/>
    </row>
    <row r="1245" spans="1:10" ht="13" x14ac:dyDescent="0.3">
      <c r="A1245" s="91"/>
      <c r="B1245" s="74"/>
      <c r="C1245" s="74"/>
      <c r="D1245" s="74"/>
      <c r="E1245" s="74"/>
      <c r="F1245" s="74"/>
      <c r="G1245" s="74"/>
      <c r="H1245" s="74"/>
      <c r="I1245" s="74"/>
      <c r="J1245" s="105"/>
    </row>
    <row r="1246" spans="1:10" ht="13" x14ac:dyDescent="0.3">
      <c r="A1246" s="91"/>
      <c r="B1246" s="74">
        <v>35</v>
      </c>
      <c r="C1246" s="74" t="str">
        <f>'Unit tariffs'!B$111</f>
        <v>km-truck with platform</v>
      </c>
      <c r="D1246" s="74"/>
      <c r="E1246" s="74"/>
      <c r="F1246" s="74"/>
      <c r="G1246" s="74"/>
      <c r="H1246" s="76">
        <v>1474.2176216515766</v>
      </c>
      <c r="I1246" s="76">
        <f>VLOOKUP($C1246,'Unit tariffs'!$B$21:$F$123,5,FALSE)*$B1246</f>
        <v>1724.9162609756193</v>
      </c>
      <c r="J1246" s="105"/>
    </row>
    <row r="1247" spans="1:10" ht="13" x14ac:dyDescent="0.3">
      <c r="A1247" s="91"/>
      <c r="B1247" s="74">
        <v>1</v>
      </c>
      <c r="C1247" s="74" t="str">
        <f>'Unit tariffs'!B$112</f>
        <v>hour-truck with platform</v>
      </c>
      <c r="D1247" s="74"/>
      <c r="E1247" s="74"/>
      <c r="F1247" s="74"/>
      <c r="G1247" s="74"/>
      <c r="H1247" s="81">
        <v>204.98441731167313</v>
      </c>
      <c r="I1247" s="81">
        <f>VLOOKUP($C1247,'Unit tariffs'!$B$21:$F$123,5,FALSE)*$B1247</f>
        <v>239.8431204962792</v>
      </c>
      <c r="J1247" s="105"/>
    </row>
    <row r="1248" spans="1:10" ht="13" x14ac:dyDescent="0.3">
      <c r="A1248" s="91"/>
      <c r="B1248" s="74"/>
      <c r="C1248" s="74"/>
      <c r="D1248" s="74"/>
      <c r="E1248" s="74"/>
      <c r="F1248" s="74"/>
      <c r="G1248" s="74"/>
      <c r="H1248" s="76">
        <v>1679.2020389632496</v>
      </c>
      <c r="I1248" s="76">
        <f>SUM(I1246:I1247)</f>
        <v>1964.7593814718985</v>
      </c>
      <c r="J1248" s="95"/>
    </row>
    <row r="1249" spans="1:10" ht="13.5" thickBot="1" x14ac:dyDescent="0.35">
      <c r="A1249" s="91"/>
      <c r="B1249" s="74"/>
      <c r="C1249" s="74"/>
      <c r="D1249" s="74"/>
      <c r="E1249" s="74"/>
      <c r="F1249" s="74"/>
      <c r="G1249" s="74"/>
      <c r="H1249" s="108"/>
      <c r="I1249" s="108"/>
      <c r="J1249" s="95"/>
    </row>
    <row r="1250" spans="1:10" ht="13.5" thickTop="1" x14ac:dyDescent="0.3">
      <c r="A1250" s="91"/>
      <c r="B1250" s="74"/>
      <c r="C1250" s="74"/>
      <c r="D1250" s="74"/>
      <c r="E1250" s="74"/>
      <c r="F1250" s="74"/>
      <c r="G1250" s="76"/>
      <c r="H1250" s="76">
        <v>16730.18841374536</v>
      </c>
      <c r="I1250" s="76">
        <f>I1248+I1243+I1238+I1230</f>
        <v>9508.2005209529198</v>
      </c>
      <c r="J1250" s="105"/>
    </row>
    <row r="1251" spans="1:10" ht="13.5" thickBot="1" x14ac:dyDescent="0.35">
      <c r="A1251" s="91"/>
      <c r="B1251" s="104" t="str">
        <f>'Unit tariffs'!$B$7</f>
        <v>Administration Levy (Indirect Cost)</v>
      </c>
      <c r="C1251" s="74"/>
      <c r="D1251" s="106">
        <f>'Unit tariffs'!$C$7</f>
        <v>0.1</v>
      </c>
      <c r="E1251" s="74" t="s">
        <v>311</v>
      </c>
      <c r="F1251" s="186">
        <f>+'Unit tariffs'!$F$7</f>
        <v>10000</v>
      </c>
      <c r="G1251" s="76"/>
      <c r="H1251" s="108">
        <v>1673.0188413745361</v>
      </c>
      <c r="I1251" s="108">
        <f>IF(I1250*$D1251&gt;='Unit tariffs'!$E$7,'Unit tariffs'!$E$7,I1250*$D1251)</f>
        <v>950.820052095292</v>
      </c>
      <c r="J1251" s="105"/>
    </row>
    <row r="1252" spans="1:10" ht="13.5" thickTop="1" x14ac:dyDescent="0.3">
      <c r="A1252" s="91"/>
      <c r="B1252" s="104" t="s">
        <v>44</v>
      </c>
      <c r="C1252" s="74"/>
      <c r="D1252" s="74"/>
      <c r="E1252" s="74"/>
      <c r="F1252" s="74"/>
      <c r="G1252" s="76"/>
      <c r="H1252" s="109">
        <v>18403.207255119894</v>
      </c>
      <c r="I1252" s="109">
        <f>SUM(I1250:I1251)</f>
        <v>10459.020573048212</v>
      </c>
      <c r="J1252" s="105"/>
    </row>
    <row r="1253" spans="1:10" ht="13" x14ac:dyDescent="0.3">
      <c r="A1253" s="91"/>
      <c r="B1253" s="104"/>
      <c r="C1253" s="74"/>
      <c r="D1253" s="74"/>
      <c r="E1253" s="74"/>
      <c r="F1253" s="74"/>
      <c r="G1253" s="76"/>
      <c r="H1253" s="76"/>
      <c r="I1253" s="76"/>
      <c r="J1253" s="105"/>
    </row>
    <row r="1254" spans="1:10" ht="13" x14ac:dyDescent="0.3">
      <c r="A1254" s="91"/>
      <c r="B1254" s="104" t="s">
        <v>45</v>
      </c>
      <c r="C1254" s="74"/>
      <c r="D1254" s="74"/>
      <c r="E1254" s="74"/>
      <c r="F1254" s="74"/>
      <c r="G1254" s="74"/>
      <c r="H1254" s="84">
        <v>18400</v>
      </c>
      <c r="I1254" s="84">
        <f>ROUND(I1252,-1)</f>
        <v>10460</v>
      </c>
      <c r="J1254" s="105"/>
    </row>
    <row r="1255" spans="1:10" ht="13" x14ac:dyDescent="0.3">
      <c r="A1255" s="91"/>
      <c r="H1255" s="76"/>
      <c r="I1255" s="76"/>
      <c r="J1255" s="105"/>
    </row>
    <row r="1256" spans="1:10" ht="13" x14ac:dyDescent="0.3">
      <c r="A1256" s="91"/>
      <c r="B1256" s="74"/>
      <c r="C1256" s="74"/>
      <c r="D1256" s="74"/>
      <c r="E1256" s="74"/>
      <c r="F1256" s="74"/>
      <c r="G1256" s="74"/>
      <c r="H1256" s="112">
        <v>0</v>
      </c>
      <c r="I1256" s="112">
        <f>(I1254-H1254)/H1254</f>
        <v>-0.43152173913043479</v>
      </c>
      <c r="J1256" s="105"/>
    </row>
    <row r="1257" spans="1:10" ht="13" x14ac:dyDescent="0.3">
      <c r="A1257" s="91"/>
      <c r="B1257" s="74" t="s">
        <v>1</v>
      </c>
      <c r="C1257" s="74"/>
      <c r="D1257" s="74"/>
      <c r="E1257" s="74"/>
      <c r="F1257" s="74"/>
      <c r="G1257" s="74"/>
      <c r="H1257" s="74"/>
      <c r="I1257" s="74"/>
      <c r="J1257" s="105"/>
    </row>
    <row r="1258" spans="1:10" ht="13" x14ac:dyDescent="0.3">
      <c r="A1258" s="91"/>
      <c r="B1258" s="931" t="s">
        <v>542</v>
      </c>
      <c r="C1258" s="932"/>
      <c r="D1258" s="932"/>
      <c r="E1258" s="932"/>
      <c r="F1258" s="932"/>
      <c r="G1258" s="933"/>
      <c r="H1258" s="132" t="s">
        <v>233</v>
      </c>
      <c r="I1258" s="132" t="s">
        <v>233</v>
      </c>
      <c r="J1258" s="110"/>
    </row>
    <row r="1259" spans="1:10" ht="13" x14ac:dyDescent="0.3">
      <c r="A1259" s="91"/>
      <c r="B1259" s="74"/>
      <c r="C1259" s="74"/>
      <c r="D1259" s="74"/>
      <c r="E1259" s="74"/>
      <c r="F1259" s="74"/>
      <c r="G1259" s="74"/>
      <c r="H1259" s="103" t="str">
        <f>+'Unit tariffs'!$F$11</f>
        <v>2026/2027</v>
      </c>
      <c r="I1259" s="103" t="str">
        <f>+'Unit tariffs'!$F$11</f>
        <v>2026/2027</v>
      </c>
      <c r="J1259" s="105"/>
    </row>
    <row r="1260" spans="1:10" ht="13" x14ac:dyDescent="0.3">
      <c r="A1260" s="91"/>
      <c r="B1260" s="74"/>
      <c r="C1260" s="74"/>
      <c r="D1260" s="74"/>
      <c r="E1260" s="74"/>
      <c r="F1260" s="74"/>
      <c r="G1260" s="74"/>
      <c r="H1260" s="74"/>
      <c r="I1260" s="74"/>
      <c r="J1260" s="113"/>
    </row>
    <row r="1261" spans="1:10" ht="13.5" thickBot="1" x14ac:dyDescent="0.35">
      <c r="A1261" s="91"/>
      <c r="B1261" s="104" t="s">
        <v>117</v>
      </c>
      <c r="C1261" s="74"/>
      <c r="D1261" s="74"/>
      <c r="E1261" s="74"/>
      <c r="F1261" s="74"/>
      <c r="G1261" s="74"/>
      <c r="H1261" s="127"/>
      <c r="I1261" s="127"/>
      <c r="J1261" s="449"/>
    </row>
    <row r="1262" spans="1:10" ht="13.5" thickTop="1" x14ac:dyDescent="0.3">
      <c r="A1262" s="91"/>
      <c r="B1262" s="74" t="s">
        <v>118</v>
      </c>
      <c r="C1262" s="74"/>
      <c r="D1262" s="74"/>
      <c r="E1262" s="74"/>
      <c r="F1262" s="74"/>
      <c r="G1262" s="74"/>
      <c r="H1262" s="127"/>
      <c r="I1262" s="127"/>
      <c r="J1262" s="95"/>
    </row>
    <row r="1263" spans="1:10" ht="21.75" customHeight="1" x14ac:dyDescent="0.3">
      <c r="A1263" s="91"/>
      <c r="B1263" s="74">
        <v>2.5</v>
      </c>
      <c r="C1263" s="74" t="str">
        <f>'Unit tariffs'!B$133</f>
        <v>Secondary Backbone - LV Urban</v>
      </c>
      <c r="D1263" s="74"/>
      <c r="E1263" s="74"/>
      <c r="F1263" s="74" t="str">
        <f>'Unit tariffs'!C$132</f>
        <v>per kVA</v>
      </c>
      <c r="G1263" s="74"/>
      <c r="H1263" s="76">
        <v>2735.2957500000007</v>
      </c>
      <c r="I1263" s="76">
        <f>VLOOKUP($C1263,'Unit tariffs'!$B$21:$F$158,5,FALSE)*$B1263</f>
        <v>3090.700932684751</v>
      </c>
      <c r="J1263" s="95"/>
    </row>
    <row r="1264" spans="1:10" ht="13" x14ac:dyDescent="0.3">
      <c r="A1264" s="91"/>
      <c r="B1264" s="74">
        <v>2.5</v>
      </c>
      <c r="C1264" s="74" t="str">
        <f>'Unit tariffs'!B$134</f>
        <v>LV Backbone -Urban</v>
      </c>
      <c r="D1264" s="74"/>
      <c r="E1264" s="74"/>
      <c r="F1264" s="74" t="str">
        <f>'Unit tariffs'!C$133</f>
        <v>per kVA</v>
      </c>
      <c r="G1264" s="74"/>
      <c r="H1264" s="81">
        <v>1137.8235</v>
      </c>
      <c r="I1264" s="81">
        <f>VLOOKUP($C1264,'Unit tariffs'!$B$21:$F$158,5,FALSE)*$B1264</f>
        <v>1285.6643208255</v>
      </c>
      <c r="J1264" s="444"/>
    </row>
    <row r="1265" spans="1:10" ht="13" x14ac:dyDescent="0.3">
      <c r="A1265" s="91"/>
      <c r="B1265" s="74"/>
      <c r="C1265" s="74"/>
      <c r="D1265" s="74"/>
      <c r="E1265" s="74"/>
      <c r="F1265" s="74"/>
      <c r="G1265" s="74"/>
      <c r="H1265" s="76">
        <v>3873.1192500000006</v>
      </c>
      <c r="I1265" s="76">
        <f>SUM(I1263:I1264)</f>
        <v>4376.365253510251</v>
      </c>
      <c r="J1265" s="450"/>
    </row>
    <row r="1266" spans="1:10" ht="13" x14ac:dyDescent="0.3">
      <c r="A1266" s="91"/>
      <c r="B1266" s="104" t="s">
        <v>41</v>
      </c>
      <c r="C1266" s="74"/>
      <c r="D1266" s="74"/>
      <c r="E1266" s="74"/>
      <c r="F1266" s="74"/>
      <c r="G1266" s="74"/>
      <c r="H1266" s="74"/>
      <c r="I1266" s="74"/>
      <c r="J1266" s="450"/>
    </row>
    <row r="1267" spans="1:10" ht="13" x14ac:dyDescent="0.3">
      <c r="A1267" s="91"/>
      <c r="B1267" s="74"/>
      <c r="C1267" s="74"/>
      <c r="D1267" s="74"/>
      <c r="E1267" s="74"/>
      <c r="F1267" s="74"/>
      <c r="G1267" s="74"/>
      <c r="H1267" s="74"/>
      <c r="I1267" s="74"/>
      <c r="J1267" s="444" t="s">
        <v>313</v>
      </c>
    </row>
    <row r="1268" spans="1:10" ht="13" x14ac:dyDescent="0.3">
      <c r="A1268" s="91"/>
      <c r="B1268" s="74">
        <v>1</v>
      </c>
      <c r="C1268" s="74" t="str">
        <f>'Unit tariffs'!B36</f>
        <v xml:space="preserve">Prepaid meter (Split) 3 phase - </v>
      </c>
      <c r="D1268" s="74"/>
      <c r="E1268" s="74"/>
      <c r="F1268" s="74"/>
      <c r="G1268" s="74"/>
      <c r="H1268" s="189">
        <v>7323.5537155157153</v>
      </c>
      <c r="I1268" s="189">
        <f>VLOOKUP($C1268,'Unit tariffs'!$B$21:$F$123,5,FALSE)*$B1268</f>
        <v>0</v>
      </c>
      <c r="J1268" s="457" t="e">
        <f>IF(+I1268*'Unit tariffs'!#REF!&gt;'Unit tariffs'!#REF!,'Unit tariffs'!#REF!,+I1268*'Unit tariffs'!#REF!)</f>
        <v>#REF!</v>
      </c>
    </row>
    <row r="1269" spans="1:10" ht="13" x14ac:dyDescent="0.3">
      <c r="A1269" s="91"/>
      <c r="B1269" s="74">
        <v>3</v>
      </c>
      <c r="C1269" s="74" t="str">
        <f>'Unit tariffs'!B43</f>
        <v>x 80 A circuit breaker (5kA) - Orange</v>
      </c>
      <c r="D1269" s="74"/>
      <c r="E1269" s="74"/>
      <c r="F1269" s="74"/>
      <c r="G1269" s="74"/>
      <c r="H1269" s="76">
        <v>587.413658244972</v>
      </c>
      <c r="I1269" s="76">
        <f>VLOOKUP($C1269,'Unit tariffs'!$B$21:$F$123,5,FALSE)*$B1269</f>
        <v>0</v>
      </c>
      <c r="J1269" s="457" t="e">
        <f>IF(+I1269*'Unit tariffs'!#REF!&gt;'Unit tariffs'!#REF!,'Unit tariffs'!#REF!,+I1269*'Unit tariffs'!#REF!)</f>
        <v>#REF!</v>
      </c>
    </row>
    <row r="1270" spans="1:10" ht="13" x14ac:dyDescent="0.3">
      <c r="A1270" s="91"/>
      <c r="B1270" s="74">
        <v>1</v>
      </c>
      <c r="C1270" s="74" t="str">
        <f>'Unit tariffs'!B72</f>
        <v>Cable clamp (Clampex) - K26</v>
      </c>
      <c r="D1270" s="74"/>
      <c r="E1270" s="74"/>
      <c r="F1270" s="74"/>
      <c r="G1270" s="74"/>
      <c r="H1270" s="76">
        <v>34.833456142903692</v>
      </c>
      <c r="I1270" s="76">
        <f>VLOOKUP($C1270,'Unit tariffs'!$B$21:$F$123,5,FALSE)*$B1270</f>
        <v>1423.2410081400001</v>
      </c>
      <c r="J1270" s="457" t="e">
        <f>IF(+I1270*'Unit tariffs'!#REF!&gt;'Unit tariffs'!#REF!,'Unit tariffs'!#REF!,+I1270*'Unit tariffs'!#REF!)</f>
        <v>#REF!</v>
      </c>
    </row>
    <row r="1271" spans="1:10" ht="13" x14ac:dyDescent="0.3">
      <c r="A1271" s="91"/>
      <c r="B1271" s="74">
        <v>1.5</v>
      </c>
      <c r="C1271" s="74" t="str">
        <f>'Unit tariffs'!B21</f>
        <v>Installation material</v>
      </c>
      <c r="D1271" s="74"/>
      <c r="E1271" s="74"/>
      <c r="F1271" s="74"/>
      <c r="G1271" s="74"/>
      <c r="H1271" s="81">
        <v>407.16150000000005</v>
      </c>
      <c r="I1271" s="81">
        <f>VLOOKUP($C1271,'Unit tariffs'!$B$21:$F$123,5,FALSE)*$B1271</f>
        <v>423.724875</v>
      </c>
      <c r="J1271" s="457" t="e">
        <f>IF(+I1271*'Unit tariffs'!#REF!&gt;'Unit tariffs'!#REF!,'Unit tariffs'!#REF!,+I1271*'Unit tariffs'!#REF!)</f>
        <v>#REF!</v>
      </c>
    </row>
    <row r="1272" spans="1:10" ht="13" x14ac:dyDescent="0.3">
      <c r="A1272" s="91"/>
      <c r="B1272" s="74"/>
      <c r="C1272" s="74"/>
      <c r="D1272" s="74"/>
      <c r="E1272" s="74"/>
      <c r="F1272" s="74"/>
      <c r="G1272" s="76"/>
      <c r="H1272" s="76">
        <v>8352.9623299035902</v>
      </c>
      <c r="I1272" s="76">
        <f>SUM(I1268:I1271)</f>
        <v>1846.9658831400002</v>
      </c>
      <c r="J1272" s="447"/>
    </row>
    <row r="1273" spans="1:10" ht="13" x14ac:dyDescent="0.3">
      <c r="A1273" s="91"/>
      <c r="B1273" s="104" t="s">
        <v>42</v>
      </c>
      <c r="C1273" s="74"/>
      <c r="D1273" s="74"/>
      <c r="E1273" s="74"/>
      <c r="F1273" s="74"/>
      <c r="G1273" s="74"/>
      <c r="H1273" s="74"/>
      <c r="I1273" s="74"/>
      <c r="J1273" s="447"/>
    </row>
    <row r="1274" spans="1:10" ht="13" x14ac:dyDescent="0.3">
      <c r="A1274" s="91"/>
      <c r="B1274" s="74"/>
      <c r="C1274" s="74"/>
      <c r="D1274" s="74"/>
      <c r="E1274" s="74"/>
      <c r="F1274" s="74"/>
      <c r="G1274" s="74"/>
      <c r="H1274" s="74"/>
      <c r="I1274" s="74"/>
      <c r="J1274" s="447"/>
    </row>
    <row r="1275" spans="1:10" ht="13" x14ac:dyDescent="0.3">
      <c r="A1275" s="91"/>
      <c r="B1275" s="74">
        <v>2</v>
      </c>
      <c r="C1275" s="74" t="str">
        <f>'Unit tariffs'!B$87</f>
        <v xml:space="preserve">hour-artisan </v>
      </c>
      <c r="D1275" s="74"/>
      <c r="E1275" s="74"/>
      <c r="F1275" s="74"/>
      <c r="G1275" s="74"/>
      <c r="H1275" s="76">
        <v>645.70446346153847</v>
      </c>
      <c r="I1275" s="76">
        <f>VLOOKUP($C1275,'Unit tariffs'!$B$21:$F$123,5,FALSE)*$B1275</f>
        <v>702.38553230769242</v>
      </c>
      <c r="J1275" s="447"/>
    </row>
    <row r="1276" spans="1:10" ht="13" x14ac:dyDescent="0.3">
      <c r="A1276" s="91"/>
      <c r="B1276" s="74">
        <v>2</v>
      </c>
      <c r="C1276" s="74" t="str">
        <f>'Unit tariffs'!B$85</f>
        <v>hour-artisan assistant</v>
      </c>
      <c r="D1276" s="74"/>
      <c r="E1276" s="74"/>
      <c r="F1276" s="74"/>
      <c r="G1276" s="74"/>
      <c r="H1276" s="81">
        <v>257.07161538461543</v>
      </c>
      <c r="I1276" s="81">
        <f>VLOOKUP($C1276,'Unit tariffs'!$B$21:$F$123,5,FALSE)*$B1276</f>
        <v>279.64851692307695</v>
      </c>
      <c r="J1276" s="105"/>
    </row>
    <row r="1277" spans="1:10" ht="13" x14ac:dyDescent="0.3">
      <c r="A1277" s="91"/>
      <c r="B1277" s="74"/>
      <c r="C1277" s="74"/>
      <c r="D1277" s="74"/>
      <c r="E1277" s="74"/>
      <c r="F1277" s="74"/>
      <c r="G1277" s="74"/>
      <c r="H1277" s="76">
        <v>902.77607884615395</v>
      </c>
      <c r="I1277" s="76">
        <f>SUM(I1275:I1276)</f>
        <v>982.03404923076937</v>
      </c>
      <c r="J1277" s="105"/>
    </row>
    <row r="1278" spans="1:10" ht="13" x14ac:dyDescent="0.3">
      <c r="A1278" s="91"/>
      <c r="B1278" s="104" t="s">
        <v>43</v>
      </c>
      <c r="C1278" s="74"/>
      <c r="D1278" s="74"/>
      <c r="E1278" s="74"/>
      <c r="F1278" s="74"/>
      <c r="G1278" s="74"/>
      <c r="H1278" s="74"/>
      <c r="I1278" s="74"/>
      <c r="J1278" s="105"/>
    </row>
    <row r="1279" spans="1:10" ht="13" x14ac:dyDescent="0.3">
      <c r="A1279" s="91"/>
      <c r="B1279" s="74"/>
      <c r="C1279" s="74"/>
      <c r="D1279" s="74"/>
      <c r="E1279" s="74"/>
      <c r="F1279" s="74"/>
      <c r="G1279" s="74"/>
      <c r="H1279" s="74"/>
      <c r="I1279" s="74"/>
      <c r="J1279" s="95"/>
    </row>
    <row r="1280" spans="1:10" ht="13" x14ac:dyDescent="0.3">
      <c r="A1280" s="91"/>
      <c r="B1280" s="74">
        <v>35</v>
      </c>
      <c r="C1280" s="74" t="str">
        <f>'Unit tariffs'!B$111</f>
        <v>km-truck with platform</v>
      </c>
      <c r="D1280" s="74"/>
      <c r="E1280" s="74"/>
      <c r="F1280" s="74"/>
      <c r="G1280" s="74"/>
      <c r="H1280" s="76">
        <v>1474.2176216515766</v>
      </c>
      <c r="I1280" s="76">
        <f>VLOOKUP($C1280,'Unit tariffs'!$B$21:$F$123,5,FALSE)*$B1280</f>
        <v>1724.9162609756193</v>
      </c>
      <c r="J1280" s="95"/>
    </row>
    <row r="1281" spans="1:10" ht="13" x14ac:dyDescent="0.3">
      <c r="A1281" s="91"/>
      <c r="B1281" s="74">
        <v>1</v>
      </c>
      <c r="C1281" s="74" t="str">
        <f>'Unit tariffs'!B$112</f>
        <v>hour-truck with platform</v>
      </c>
      <c r="D1281" s="74"/>
      <c r="E1281" s="74"/>
      <c r="F1281" s="74"/>
      <c r="G1281" s="74"/>
      <c r="H1281" s="81">
        <v>204.98441731167313</v>
      </c>
      <c r="I1281" s="81">
        <f>VLOOKUP($C1281,'Unit tariffs'!$B$21:$F$123,5,FALSE)*$B1281</f>
        <v>239.8431204962792</v>
      </c>
      <c r="J1281" s="105"/>
    </row>
    <row r="1282" spans="1:10" ht="13" x14ac:dyDescent="0.3">
      <c r="A1282" s="91"/>
      <c r="B1282" s="74"/>
      <c r="C1282" s="74"/>
      <c r="D1282" s="74"/>
      <c r="E1282" s="74"/>
      <c r="F1282" s="74"/>
      <c r="G1282" s="74"/>
      <c r="H1282" s="76">
        <v>1679.2020389632496</v>
      </c>
      <c r="I1282" s="76">
        <f>SUM(I1280:I1281)</f>
        <v>1964.7593814718985</v>
      </c>
      <c r="J1282" s="105"/>
    </row>
    <row r="1283" spans="1:10" ht="13.5" thickBot="1" x14ac:dyDescent="0.35">
      <c r="A1283" s="91"/>
      <c r="B1283" s="74"/>
      <c r="C1283" s="74"/>
      <c r="D1283" s="74"/>
      <c r="E1283" s="74"/>
      <c r="F1283" s="74"/>
      <c r="G1283" s="74"/>
      <c r="H1283" s="108"/>
      <c r="I1283" s="108"/>
      <c r="J1283" s="105"/>
    </row>
    <row r="1284" spans="1:10" ht="13.5" thickTop="1" x14ac:dyDescent="0.3">
      <c r="A1284" s="91"/>
      <c r="B1284" s="74"/>
      <c r="C1284" s="74"/>
      <c r="D1284" s="74"/>
      <c r="E1284" s="74"/>
      <c r="F1284" s="74"/>
      <c r="G1284" s="76"/>
      <c r="H1284" s="76">
        <v>14808.059697712994</v>
      </c>
      <c r="I1284" s="76">
        <f>I1282+I1277+I1272+I1265</f>
        <v>9170.1245673529193</v>
      </c>
      <c r="J1284" s="95"/>
    </row>
    <row r="1285" spans="1:10" ht="13.5" thickBot="1" x14ac:dyDescent="0.35">
      <c r="A1285" s="91"/>
      <c r="B1285" s="104" t="str">
        <f>'Unit tariffs'!$B$7</f>
        <v>Administration Levy (Indirect Cost)</v>
      </c>
      <c r="C1285" s="74"/>
      <c r="D1285" s="106">
        <f>'Unit tariffs'!$C$7</f>
        <v>0.1</v>
      </c>
      <c r="E1285" s="74" t="s">
        <v>311</v>
      </c>
      <c r="F1285" s="186">
        <f>+'Unit tariffs'!$F$7</f>
        <v>10000</v>
      </c>
      <c r="G1285" s="76"/>
      <c r="H1285" s="108">
        <v>1480.8059697712995</v>
      </c>
      <c r="I1285" s="108">
        <f>IF(I1284*$D1285&gt;='Unit tariffs'!$E$7,'Unit tariffs'!$E$7,I1284*$D1285)</f>
        <v>917.01245673529195</v>
      </c>
      <c r="J1285" s="95"/>
    </row>
    <row r="1286" spans="1:10" ht="13.5" thickTop="1" x14ac:dyDescent="0.3">
      <c r="A1286" s="91"/>
      <c r="B1286" s="104" t="s">
        <v>44</v>
      </c>
      <c r="C1286" s="74"/>
      <c r="D1286" s="74"/>
      <c r="E1286" s="74"/>
      <c r="F1286" s="74"/>
      <c r="G1286" s="76"/>
      <c r="H1286" s="109">
        <v>16288.865667484293</v>
      </c>
      <c r="I1286" s="109">
        <f>SUM(I1284:I1285)</f>
        <v>10087.137024088212</v>
      </c>
      <c r="J1286" s="105"/>
    </row>
    <row r="1287" spans="1:10" ht="13" x14ac:dyDescent="0.3">
      <c r="A1287" s="91"/>
      <c r="B1287" s="104"/>
      <c r="C1287" s="74"/>
      <c r="D1287" s="74"/>
      <c r="E1287" s="74"/>
      <c r="F1287" s="74"/>
      <c r="G1287" s="76"/>
      <c r="H1287" s="76"/>
      <c r="I1287" s="76"/>
      <c r="J1287" s="105"/>
    </row>
    <row r="1288" spans="1:10" ht="13" x14ac:dyDescent="0.3">
      <c r="A1288" s="91"/>
      <c r="B1288" s="104" t="s">
        <v>45</v>
      </c>
      <c r="C1288" s="74"/>
      <c r="D1288" s="74"/>
      <c r="E1288" s="74"/>
      <c r="F1288" s="74"/>
      <c r="G1288" s="74"/>
      <c r="H1288" s="84">
        <v>16290</v>
      </c>
      <c r="I1288" s="84">
        <f>ROUND(I1286,-1)</f>
        <v>10090</v>
      </c>
      <c r="J1288" s="105"/>
    </row>
    <row r="1289" spans="1:10" ht="13" x14ac:dyDescent="0.3">
      <c r="A1289" s="91"/>
      <c r="H1289" s="76"/>
      <c r="I1289" s="76"/>
      <c r="J1289" s="105"/>
    </row>
    <row r="1290" spans="1:10" ht="13" x14ac:dyDescent="0.3">
      <c r="A1290" s="91"/>
      <c r="B1290" s="74"/>
      <c r="C1290" s="74"/>
      <c r="D1290" s="74"/>
      <c r="E1290" s="74"/>
      <c r="F1290" s="74"/>
      <c r="G1290" s="74"/>
      <c r="H1290" s="112">
        <v>0</v>
      </c>
      <c r="I1290" s="112">
        <f>(I1288-H1288)/H1288</f>
        <v>-0.38060159607120936</v>
      </c>
      <c r="J1290" s="105"/>
    </row>
    <row r="1291" spans="1:10" ht="13" x14ac:dyDescent="0.3">
      <c r="A1291" s="91"/>
      <c r="B1291" s="74"/>
      <c r="C1291" s="74"/>
      <c r="D1291" s="74"/>
      <c r="E1291" s="74"/>
      <c r="F1291" s="74"/>
      <c r="G1291" s="74"/>
      <c r="H1291" s="74"/>
      <c r="I1291" s="74"/>
      <c r="J1291" s="105"/>
    </row>
    <row r="1292" spans="1:10" ht="13" x14ac:dyDescent="0.3">
      <c r="A1292" s="91"/>
      <c r="B1292" s="74" t="s">
        <v>1</v>
      </c>
      <c r="C1292" s="74"/>
      <c r="D1292" s="74"/>
      <c r="E1292" s="74"/>
      <c r="F1292" s="74"/>
      <c r="G1292" s="74"/>
      <c r="H1292" s="74"/>
      <c r="I1292" s="74"/>
      <c r="J1292" s="105"/>
    </row>
    <row r="1293" spans="1:10" ht="13" x14ac:dyDescent="0.3">
      <c r="A1293" s="91"/>
      <c r="B1293" s="931" t="s">
        <v>543</v>
      </c>
      <c r="C1293" s="932"/>
      <c r="D1293" s="932"/>
      <c r="E1293" s="932"/>
      <c r="F1293" s="932"/>
      <c r="G1293" s="933"/>
      <c r="H1293" s="132" t="s">
        <v>232</v>
      </c>
      <c r="I1293" s="132" t="s">
        <v>232</v>
      </c>
      <c r="J1293" s="105"/>
    </row>
    <row r="1294" spans="1:10" ht="13" x14ac:dyDescent="0.3">
      <c r="A1294" s="91"/>
      <c r="B1294" s="74"/>
      <c r="C1294" s="74"/>
      <c r="D1294" s="74"/>
      <c r="E1294" s="74"/>
      <c r="F1294" s="74"/>
      <c r="G1294" s="74"/>
      <c r="H1294" s="103" t="str">
        <f>+'Unit tariffs'!$F$11</f>
        <v>2026/2027</v>
      </c>
      <c r="I1294" s="103" t="str">
        <f>+'Unit tariffs'!$F$11</f>
        <v>2026/2027</v>
      </c>
      <c r="J1294" s="110"/>
    </row>
    <row r="1295" spans="1:10" ht="13" x14ac:dyDescent="0.3">
      <c r="A1295" s="91"/>
      <c r="B1295" s="74"/>
      <c r="C1295" s="74"/>
      <c r="D1295" s="74"/>
      <c r="E1295" s="74"/>
      <c r="F1295" s="74"/>
      <c r="G1295" s="74"/>
      <c r="H1295" s="127"/>
      <c r="I1295" s="127"/>
      <c r="J1295" s="105"/>
    </row>
    <row r="1296" spans="1:10" ht="13" x14ac:dyDescent="0.3">
      <c r="A1296" s="91"/>
      <c r="B1296" s="104" t="s">
        <v>117</v>
      </c>
      <c r="C1296" s="74"/>
      <c r="D1296" s="74"/>
      <c r="E1296" s="74"/>
      <c r="F1296" s="74"/>
      <c r="G1296" s="74"/>
      <c r="H1296" s="127"/>
      <c r="I1296" s="127"/>
      <c r="J1296" s="113"/>
    </row>
    <row r="1297" spans="1:10" ht="13" x14ac:dyDescent="0.3">
      <c r="A1297" s="91"/>
      <c r="B1297" s="74" t="s">
        <v>118</v>
      </c>
      <c r="C1297" s="74"/>
      <c r="D1297" s="74"/>
      <c r="E1297" s="74"/>
      <c r="F1297" s="74"/>
      <c r="G1297" s="74"/>
      <c r="H1297" s="127"/>
      <c r="I1297" s="127"/>
      <c r="J1297" s="95"/>
    </row>
    <row r="1298" spans="1:10" ht="13" x14ac:dyDescent="0.3">
      <c r="A1298" s="91"/>
      <c r="B1298" s="74">
        <v>2.5</v>
      </c>
      <c r="C1298" s="74" t="str">
        <f>'Unit tariffs'!B137</f>
        <v>Primary Backbone - Peri Urban</v>
      </c>
      <c r="D1298" s="74"/>
      <c r="E1298" s="74"/>
      <c r="F1298" s="74" t="s">
        <v>95</v>
      </c>
      <c r="G1298" s="74"/>
      <c r="H1298" s="76">
        <v>3176.0685000000008</v>
      </c>
      <c r="I1298" s="76">
        <f>VLOOKUP($C1298,'Unit tariffs'!$B$21:$F$158,5,FALSE)*$B1298</f>
        <v>3588.7446084105004</v>
      </c>
      <c r="J1298" s="95"/>
    </row>
    <row r="1299" spans="1:10" s="709" customFormat="1" ht="13" x14ac:dyDescent="0.3">
      <c r="A1299" s="714"/>
      <c r="B1299" s="85">
        <v>2.5</v>
      </c>
      <c r="C1299" s="85" t="str">
        <f>'Unit tariffs'!B138</f>
        <v>Secondary Backbone - MV Peri Urban</v>
      </c>
      <c r="D1299" s="85"/>
      <c r="E1299" s="85"/>
      <c r="F1299" s="85" t="s">
        <v>95</v>
      </c>
      <c r="G1299" s="85"/>
      <c r="H1299" s="188">
        <v>2672.7387500000004</v>
      </c>
      <c r="I1299" s="188">
        <f>VLOOKUP($C1299,'Unit tariffs'!$B$21:$F$158,5,FALSE)*$B1299</f>
        <v>3020.01571400375</v>
      </c>
      <c r="J1299" s="715"/>
    </row>
    <row r="1300" spans="1:10" ht="13" x14ac:dyDescent="0.3">
      <c r="A1300" s="91"/>
      <c r="B1300" s="74">
        <v>2.5</v>
      </c>
      <c r="C1300" s="74" t="str">
        <f>'Unit tariffs'!B$139</f>
        <v>Secondary Backbone - LV Peri Urban</v>
      </c>
      <c r="D1300" s="74"/>
      <c r="E1300" s="74"/>
      <c r="F1300" s="74" t="str">
        <f>'Unit tariffs'!C$138</f>
        <v>per kVA</v>
      </c>
      <c r="G1300" s="74"/>
      <c r="H1300" s="81">
        <v>4384.5560000000014</v>
      </c>
      <c r="I1300" s="81">
        <f>VLOOKUP($C1300,'Unit tariffs'!$B$21:$F$158,5,FALSE)*$B1300</f>
        <v>4954.2545147480005</v>
      </c>
      <c r="J1300" s="95"/>
    </row>
    <row r="1301" spans="1:10" ht="13" x14ac:dyDescent="0.3">
      <c r="A1301" s="91"/>
      <c r="B1301" s="74"/>
      <c r="C1301" s="74"/>
      <c r="D1301" s="74"/>
      <c r="E1301" s="74"/>
      <c r="F1301" s="74"/>
      <c r="G1301" s="74"/>
      <c r="H1301" s="76">
        <v>10233.363250000002</v>
      </c>
      <c r="I1301" s="76">
        <f>SUM(I1298:I1300)</f>
        <v>11563.014837162251</v>
      </c>
      <c r="J1301" s="444"/>
    </row>
    <row r="1302" spans="1:10" ht="13" x14ac:dyDescent="0.3">
      <c r="A1302" s="91"/>
      <c r="B1302" s="104" t="s">
        <v>41</v>
      </c>
      <c r="C1302" s="74"/>
      <c r="D1302" s="74"/>
      <c r="E1302" s="74"/>
      <c r="F1302" s="74"/>
      <c r="G1302" s="74"/>
      <c r="H1302" s="74"/>
      <c r="I1302" s="74"/>
      <c r="J1302" s="450"/>
    </row>
    <row r="1303" spans="1:10" ht="13" x14ac:dyDescent="0.3">
      <c r="A1303" s="91"/>
      <c r="B1303" s="74"/>
      <c r="C1303" s="74"/>
      <c r="D1303" s="74"/>
      <c r="E1303" s="74"/>
      <c r="F1303" s="74"/>
      <c r="G1303" s="74"/>
      <c r="H1303" s="74"/>
      <c r="I1303" s="74"/>
      <c r="J1303" s="444" t="s">
        <v>313</v>
      </c>
    </row>
    <row r="1304" spans="1:10" ht="13" x14ac:dyDescent="0.3">
      <c r="A1304" s="91"/>
      <c r="B1304" s="74">
        <v>1</v>
      </c>
      <c r="C1304" s="74" t="s">
        <v>312</v>
      </c>
      <c r="D1304" s="74"/>
      <c r="E1304" s="74"/>
      <c r="F1304" s="74"/>
      <c r="G1304" s="74"/>
      <c r="H1304" s="76">
        <v>5538.1406043608804</v>
      </c>
      <c r="I1304" s="76">
        <f>VLOOKUP($C1304,'Unit tariffs'!$B$21:$F$123,5,FALSE)*$B1304</f>
        <v>0</v>
      </c>
      <c r="J1304" s="457" t="e">
        <f>IF(+I1304*'Unit tariffs'!#REF!&gt;'Unit tariffs'!#REF!,'Unit tariffs'!#REF!,+I1304*'Unit tariffs'!#REF!)</f>
        <v>#REF!</v>
      </c>
    </row>
    <row r="1305" spans="1:10" ht="13" x14ac:dyDescent="0.3">
      <c r="A1305" s="91"/>
      <c r="B1305" s="74">
        <v>3</v>
      </c>
      <c r="C1305" s="74" t="str">
        <f>'Unit tariffs'!B43</f>
        <v>x 80 A circuit breaker (5kA) - Orange</v>
      </c>
      <c r="D1305" s="74"/>
      <c r="E1305" s="74"/>
      <c r="F1305" s="74"/>
      <c r="G1305" s="74"/>
      <c r="H1305" s="76">
        <v>587.413658244972</v>
      </c>
      <c r="I1305" s="76">
        <f>VLOOKUP($C1305,'Unit tariffs'!$B$21:$F$123,5,FALSE)*$B1305</f>
        <v>0</v>
      </c>
      <c r="J1305" s="457" t="e">
        <f>IF(+I1305*'Unit tariffs'!#REF!&gt;'Unit tariffs'!#REF!,'Unit tariffs'!#REF!,+I1305*'Unit tariffs'!#REF!)</f>
        <v>#REF!</v>
      </c>
    </row>
    <row r="1306" spans="1:10" ht="13" x14ac:dyDescent="0.3">
      <c r="A1306" s="91"/>
      <c r="B1306" s="74">
        <v>1</v>
      </c>
      <c r="C1306" s="74" t="str">
        <f>'Unit tariffs'!B72</f>
        <v>Cable clamp (Clampex) - K26</v>
      </c>
      <c r="D1306" s="74"/>
      <c r="E1306" s="74"/>
      <c r="F1306" s="74"/>
      <c r="G1306" s="74"/>
      <c r="H1306" s="76">
        <v>34.833456142903692</v>
      </c>
      <c r="I1306" s="76">
        <f>VLOOKUP($C1306,'Unit tariffs'!$B$21:$F$123,5,FALSE)*$B1306</f>
        <v>1423.2410081400001</v>
      </c>
      <c r="J1306" s="457" t="e">
        <f>IF(+I1306*'Unit tariffs'!#REF!&gt;'Unit tariffs'!#REF!,'Unit tariffs'!#REF!,+I1306*'Unit tariffs'!#REF!)</f>
        <v>#REF!</v>
      </c>
    </row>
    <row r="1307" spans="1:10" ht="13" x14ac:dyDescent="0.3">
      <c r="A1307" s="91"/>
      <c r="B1307" s="85">
        <v>0</v>
      </c>
      <c r="C1307" s="74" t="str">
        <f>'Unit tariffs'!B56</f>
        <v>m 16 mm x 4 Cu cable</v>
      </c>
      <c r="D1307" s="74"/>
      <c r="E1307" s="74"/>
      <c r="F1307" s="74"/>
      <c r="G1307" s="74"/>
      <c r="H1307" s="76">
        <v>0</v>
      </c>
      <c r="I1307" s="76">
        <f>VLOOKUP($C1307,'Unit tariffs'!$B$21:$F$123,5,FALSE)*$B1307</f>
        <v>0</v>
      </c>
      <c r="J1307" s="457" t="e">
        <f>IF(+I1307*'Unit tariffs'!#REF!&gt;'Unit tariffs'!#REF!,'Unit tariffs'!#REF!,+I1307*'Unit tariffs'!#REF!)</f>
        <v>#REF!</v>
      </c>
    </row>
    <row r="1308" spans="1:10" ht="13" x14ac:dyDescent="0.3">
      <c r="A1308" s="91"/>
      <c r="B1308" s="74">
        <v>1</v>
      </c>
      <c r="C1308" s="74" t="str">
        <f>'Unit tariffs'!B21</f>
        <v>Installation material</v>
      </c>
      <c r="D1308" s="74"/>
      <c r="E1308" s="74"/>
      <c r="F1308" s="74"/>
      <c r="G1308" s="74"/>
      <c r="H1308" s="81">
        <v>271.44100000000003</v>
      </c>
      <c r="I1308" s="81">
        <f>VLOOKUP($C1308,'Unit tariffs'!$B$21:$F$123,5,FALSE)*$B1308</f>
        <v>282.48325</v>
      </c>
      <c r="J1308" s="457" t="e">
        <f>IF(+I1308*'Unit tariffs'!#REF!&gt;'Unit tariffs'!#REF!,'Unit tariffs'!#REF!,+I1308*'Unit tariffs'!#REF!)</f>
        <v>#REF!</v>
      </c>
    </row>
    <row r="1309" spans="1:10" ht="13" x14ac:dyDescent="0.3">
      <c r="A1309" s="91"/>
      <c r="B1309" s="74"/>
      <c r="C1309" s="74"/>
      <c r="D1309" s="74"/>
      <c r="E1309" s="74"/>
      <c r="F1309" s="74"/>
      <c r="G1309" s="76"/>
      <c r="H1309" s="76">
        <v>6431.8287187487558</v>
      </c>
      <c r="I1309" s="76">
        <f>SUM(I1304:I1308)</f>
        <v>1705.7242581400001</v>
      </c>
      <c r="J1309" s="447"/>
    </row>
    <row r="1310" spans="1:10" ht="13" x14ac:dyDescent="0.3">
      <c r="A1310" s="91"/>
      <c r="B1310" s="104" t="s">
        <v>42</v>
      </c>
      <c r="C1310" s="74"/>
      <c r="D1310" s="74"/>
      <c r="E1310" s="74"/>
      <c r="F1310" s="74"/>
      <c r="G1310" s="74"/>
      <c r="H1310" s="74"/>
      <c r="I1310" s="74"/>
      <c r="J1310" s="447"/>
    </row>
    <row r="1311" spans="1:10" ht="13" x14ac:dyDescent="0.3">
      <c r="A1311" s="91"/>
      <c r="B1311" s="74"/>
      <c r="C1311" s="74"/>
      <c r="D1311" s="74"/>
      <c r="E1311" s="74"/>
      <c r="F1311" s="74"/>
      <c r="G1311" s="74"/>
      <c r="H1311" s="74"/>
      <c r="I1311" s="74"/>
      <c r="J1311" s="447"/>
    </row>
    <row r="1312" spans="1:10" ht="13" x14ac:dyDescent="0.3">
      <c r="A1312" s="91"/>
      <c r="B1312" s="74">
        <v>4</v>
      </c>
      <c r="C1312" s="74" t="str">
        <f>'Unit tariffs'!B$87</f>
        <v xml:space="preserve">hour-artisan </v>
      </c>
      <c r="D1312" s="74"/>
      <c r="E1312" s="74"/>
      <c r="F1312" s="74"/>
      <c r="G1312" s="74"/>
      <c r="H1312" s="76">
        <v>1291.4089269230769</v>
      </c>
      <c r="I1312" s="76">
        <f>VLOOKUP($C1312,'Unit tariffs'!$B$21:$F$123,5,FALSE)*$B1312</f>
        <v>1404.7710646153848</v>
      </c>
      <c r="J1312" s="105"/>
    </row>
    <row r="1313" spans="1:17" ht="13" x14ac:dyDescent="0.3">
      <c r="A1313" s="91"/>
      <c r="B1313" s="74">
        <v>8</v>
      </c>
      <c r="C1313" s="74" t="str">
        <f>'Unit tariffs'!B$85</f>
        <v>hour-artisan assistant</v>
      </c>
      <c r="D1313" s="74"/>
      <c r="E1313" s="74"/>
      <c r="F1313" s="74"/>
      <c r="G1313" s="74"/>
      <c r="H1313" s="81">
        <v>1028.2864615384617</v>
      </c>
      <c r="I1313" s="81">
        <f>VLOOKUP($C1313,'Unit tariffs'!$B$21:$F$123,5,FALSE)*$B1313</f>
        <v>1118.5940676923078</v>
      </c>
      <c r="J1313" s="105"/>
    </row>
    <row r="1314" spans="1:17" ht="13" x14ac:dyDescent="0.3">
      <c r="A1314" s="91"/>
      <c r="B1314" s="74"/>
      <c r="C1314" s="74"/>
      <c r="D1314" s="74"/>
      <c r="E1314" s="74"/>
      <c r="F1314" s="74"/>
      <c r="G1314" s="74"/>
      <c r="H1314" s="76">
        <v>2319.6953884615386</v>
      </c>
      <c r="I1314" s="76">
        <f>SUM(I1312:I1313)</f>
        <v>2523.3651323076929</v>
      </c>
      <c r="J1314" s="105"/>
    </row>
    <row r="1315" spans="1:17" ht="13" x14ac:dyDescent="0.3">
      <c r="A1315" s="91"/>
      <c r="B1315" s="104" t="s">
        <v>43</v>
      </c>
      <c r="C1315" s="74"/>
      <c r="D1315" s="74"/>
      <c r="E1315" s="74"/>
      <c r="F1315" s="74"/>
      <c r="G1315" s="74"/>
      <c r="H1315" s="74"/>
      <c r="I1315" s="74"/>
      <c r="J1315" s="95"/>
    </row>
    <row r="1316" spans="1:17" ht="13" x14ac:dyDescent="0.3">
      <c r="A1316" s="91"/>
      <c r="B1316" s="74"/>
      <c r="C1316" s="74"/>
      <c r="D1316" s="74"/>
      <c r="E1316" s="74"/>
      <c r="F1316" s="74"/>
      <c r="G1316" s="74"/>
      <c r="H1316" s="74"/>
      <c r="I1316" s="74"/>
      <c r="J1316" s="95"/>
    </row>
    <row r="1317" spans="1:17" ht="13" x14ac:dyDescent="0.3">
      <c r="A1317" s="91"/>
      <c r="B1317" s="74">
        <v>24</v>
      </c>
      <c r="C1317" s="74" t="str">
        <f>'Unit tariffs'!B$111</f>
        <v>km-truck with platform</v>
      </c>
      <c r="D1317" s="74"/>
      <c r="E1317" s="74"/>
      <c r="F1317" s="74"/>
      <c r="G1317" s="74"/>
      <c r="H1317" s="76">
        <v>1010.8920834182238</v>
      </c>
      <c r="I1317" s="76">
        <f>VLOOKUP($C1317,'Unit tariffs'!$B$21:$F$123,5,FALSE)*$B1317</f>
        <v>1182.7997218118533</v>
      </c>
      <c r="J1317" s="105"/>
    </row>
    <row r="1318" spans="1:17" ht="13" x14ac:dyDescent="0.3">
      <c r="A1318" s="91"/>
      <c r="B1318" s="74">
        <v>4</v>
      </c>
      <c r="C1318" s="74" t="str">
        <f>'Unit tariffs'!B$112</f>
        <v>hour-truck with platform</v>
      </c>
      <c r="D1318" s="74"/>
      <c r="E1318" s="74"/>
      <c r="F1318" s="74"/>
      <c r="G1318" s="74"/>
      <c r="H1318" s="81">
        <v>819.93766924669251</v>
      </c>
      <c r="I1318" s="81">
        <f>VLOOKUP($C1318,'Unit tariffs'!$B$21:$F$123,5,FALSE)*$B1318</f>
        <v>959.37248198511679</v>
      </c>
      <c r="J1318" s="105"/>
    </row>
    <row r="1319" spans="1:17" ht="13" x14ac:dyDescent="0.3">
      <c r="A1319" s="91"/>
      <c r="B1319" s="74"/>
      <c r="C1319" s="74"/>
      <c r="D1319" s="74"/>
      <c r="E1319" s="74"/>
      <c r="F1319" s="74"/>
      <c r="G1319" s="74"/>
      <c r="H1319" s="76">
        <v>1830.8297526649162</v>
      </c>
      <c r="I1319" s="76">
        <f>SUM(I1317:I1318)</f>
        <v>2142.1722037969703</v>
      </c>
      <c r="J1319" s="105"/>
    </row>
    <row r="1320" spans="1:17" ht="13.5" thickBot="1" x14ac:dyDescent="0.35">
      <c r="A1320" s="91"/>
      <c r="B1320" s="74"/>
      <c r="C1320" s="74"/>
      <c r="D1320" s="74"/>
      <c r="E1320" s="74"/>
      <c r="F1320" s="74"/>
      <c r="G1320" s="74"/>
      <c r="H1320" s="108"/>
      <c r="I1320" s="108"/>
      <c r="J1320" s="95"/>
    </row>
    <row r="1321" spans="1:17" ht="13.5" thickTop="1" x14ac:dyDescent="0.3">
      <c r="A1321" s="91"/>
      <c r="B1321" s="74"/>
      <c r="C1321" s="74"/>
      <c r="D1321" s="74"/>
      <c r="E1321" s="74"/>
      <c r="F1321" s="74"/>
      <c r="G1321" s="76"/>
      <c r="H1321" s="76">
        <v>20815.717109875211</v>
      </c>
      <c r="I1321" s="76">
        <f>I1319+I1314+I1309+I1301</f>
        <v>17934.276431406914</v>
      </c>
      <c r="J1321" s="95"/>
    </row>
    <row r="1322" spans="1:17" ht="13.5" thickBot="1" x14ac:dyDescent="0.35">
      <c r="A1322" s="91"/>
      <c r="B1322" s="104" t="str">
        <f>'Unit tariffs'!$B$7</f>
        <v>Administration Levy (Indirect Cost)</v>
      </c>
      <c r="C1322" s="74"/>
      <c r="D1322" s="106">
        <f>'Unit tariffs'!$C$7</f>
        <v>0.1</v>
      </c>
      <c r="E1322" s="74" t="s">
        <v>311</v>
      </c>
      <c r="F1322" s="186">
        <f>+'Unit tariffs'!$F$7</f>
        <v>10000</v>
      </c>
      <c r="G1322" s="76"/>
      <c r="H1322" s="108">
        <v>2081.5717109875213</v>
      </c>
      <c r="I1322" s="108">
        <f>IF(I1321*$D1322&gt;='Unit tariffs'!$E$7,'Unit tariffs'!$E$7,I1321*$D1322)</f>
        <v>1793.4276431406915</v>
      </c>
      <c r="J1322" s="105"/>
    </row>
    <row r="1323" spans="1:17" ht="13.5" thickTop="1" x14ac:dyDescent="0.3">
      <c r="A1323" s="91"/>
      <c r="B1323" s="104" t="s">
        <v>44</v>
      </c>
      <c r="C1323" s="74"/>
      <c r="D1323" s="74"/>
      <c r="E1323" s="74"/>
      <c r="F1323" s="74"/>
      <c r="G1323" s="76"/>
      <c r="H1323" s="109">
        <v>22897.288820862734</v>
      </c>
      <c r="I1323" s="109">
        <f>SUM(I1321:I1322)</f>
        <v>19727.704074547604</v>
      </c>
      <c r="J1323" s="105"/>
    </row>
    <row r="1324" spans="1:17" ht="13" x14ac:dyDescent="0.3">
      <c r="A1324" s="91"/>
      <c r="B1324" s="104"/>
      <c r="C1324" s="74"/>
      <c r="D1324" s="74"/>
      <c r="E1324" s="74"/>
      <c r="F1324" s="74"/>
      <c r="G1324" s="76"/>
      <c r="H1324" s="76"/>
      <c r="I1324" s="76"/>
      <c r="J1324" s="105"/>
    </row>
    <row r="1325" spans="1:17" ht="13" x14ac:dyDescent="0.3">
      <c r="A1325" s="91"/>
      <c r="B1325" s="104" t="s">
        <v>45</v>
      </c>
      <c r="C1325" s="74"/>
      <c r="D1325" s="74"/>
      <c r="E1325" s="74"/>
      <c r="F1325" s="74"/>
      <c r="G1325" s="74"/>
      <c r="H1325" s="84">
        <v>22900</v>
      </c>
      <c r="I1325" s="84">
        <f>ROUND(I1323,-1)</f>
        <v>19730</v>
      </c>
      <c r="J1325" s="105"/>
    </row>
    <row r="1326" spans="1:17" ht="13" x14ac:dyDescent="0.3">
      <c r="A1326" s="91"/>
      <c r="H1326" s="76"/>
      <c r="I1326" s="76"/>
      <c r="J1326" s="105"/>
    </row>
    <row r="1327" spans="1:17" ht="13" x14ac:dyDescent="0.3">
      <c r="A1327" s="91"/>
      <c r="B1327" s="74"/>
      <c r="C1327" s="74"/>
      <c r="D1327" s="74"/>
      <c r="E1327" s="74"/>
      <c r="F1327" s="74"/>
      <c r="G1327" s="74"/>
      <c r="H1327" s="112">
        <v>0</v>
      </c>
      <c r="I1327" s="112">
        <f>(I1325-H1325)/H1325</f>
        <v>-0.13842794759825328</v>
      </c>
      <c r="J1327" s="105"/>
    </row>
    <row r="1328" spans="1:17" ht="13.5" thickBot="1" x14ac:dyDescent="0.35">
      <c r="A1328" s="448"/>
      <c r="B1328" s="123"/>
      <c r="C1328" s="123"/>
      <c r="D1328" s="123"/>
      <c r="E1328" s="123"/>
      <c r="F1328" s="123"/>
      <c r="G1328" s="123"/>
      <c r="H1328" s="130"/>
      <c r="I1328" s="130"/>
      <c r="J1328" s="716"/>
      <c r="K1328" s="717"/>
      <c r="L1328" s="717"/>
      <c r="M1328" s="717"/>
      <c r="N1328" s="717"/>
      <c r="O1328" s="717"/>
      <c r="P1328" s="717"/>
      <c r="Q1328" s="717"/>
    </row>
    <row r="1329" spans="1:10" ht="13.5" thickTop="1" x14ac:dyDescent="0.3">
      <c r="A1329" s="91"/>
      <c r="B1329" s="74"/>
      <c r="C1329" s="74"/>
      <c r="D1329" s="74"/>
      <c r="E1329" s="74"/>
      <c r="F1329" s="74"/>
      <c r="G1329" s="74"/>
      <c r="H1329" s="74"/>
      <c r="I1329" s="74"/>
      <c r="J1329" s="105"/>
    </row>
    <row r="1330" spans="1:10" ht="13" x14ac:dyDescent="0.3">
      <c r="A1330" s="91"/>
      <c r="B1330" s="931" t="s">
        <v>544</v>
      </c>
      <c r="C1330" s="932"/>
      <c r="D1330" s="932"/>
      <c r="E1330" s="932"/>
      <c r="F1330" s="932"/>
      <c r="G1330" s="933"/>
      <c r="H1330" s="132" t="s">
        <v>232</v>
      </c>
      <c r="I1330" s="132" t="s">
        <v>232</v>
      </c>
      <c r="J1330" s="110"/>
    </row>
    <row r="1331" spans="1:10" ht="13" x14ac:dyDescent="0.3">
      <c r="A1331" s="91"/>
      <c r="B1331" s="74"/>
      <c r="C1331" s="74"/>
      <c r="D1331" s="74"/>
      <c r="E1331" s="74"/>
      <c r="F1331" s="74"/>
      <c r="G1331" s="74"/>
      <c r="H1331" s="103" t="str">
        <f>+'Unit tariffs'!$F$11</f>
        <v>2026/2027</v>
      </c>
      <c r="I1331" s="103" t="str">
        <f>+'Unit tariffs'!$F$11</f>
        <v>2026/2027</v>
      </c>
      <c r="J1331" s="105"/>
    </row>
    <row r="1332" spans="1:10" ht="13" x14ac:dyDescent="0.3">
      <c r="A1332" s="91"/>
      <c r="B1332" s="74"/>
      <c r="C1332" s="74"/>
      <c r="D1332" s="74"/>
      <c r="E1332" s="74"/>
      <c r="F1332" s="74"/>
      <c r="G1332" s="74"/>
      <c r="H1332" s="127"/>
      <c r="I1332" s="127"/>
      <c r="J1332" s="113"/>
    </row>
    <row r="1333" spans="1:10" ht="13" x14ac:dyDescent="0.3">
      <c r="A1333" s="91"/>
      <c r="B1333" s="104" t="s">
        <v>117</v>
      </c>
      <c r="C1333" s="74"/>
      <c r="D1333" s="74"/>
      <c r="E1333" s="74"/>
      <c r="F1333" s="74"/>
      <c r="G1333" s="74"/>
      <c r="H1333" s="127"/>
      <c r="I1333" s="127"/>
      <c r="J1333" s="113"/>
    </row>
    <row r="1334" spans="1:10" ht="13" x14ac:dyDescent="0.3">
      <c r="A1334" s="91"/>
      <c r="B1334" s="74" t="s">
        <v>118</v>
      </c>
      <c r="C1334" s="74"/>
      <c r="D1334" s="74"/>
      <c r="E1334" s="74"/>
      <c r="F1334" s="74"/>
      <c r="G1334" s="74"/>
      <c r="H1334" s="127"/>
      <c r="I1334" s="127"/>
      <c r="J1334" s="95"/>
    </row>
    <row r="1335" spans="1:10" ht="23.25" customHeight="1" x14ac:dyDescent="0.3">
      <c r="A1335" s="91"/>
      <c r="B1335" s="74">
        <v>2.5</v>
      </c>
      <c r="C1335" s="74" t="str">
        <f>'Unit tariffs'!B137</f>
        <v>Primary Backbone - Peri Urban</v>
      </c>
      <c r="D1335" s="74"/>
      <c r="E1335" s="74"/>
      <c r="F1335" s="74" t="s">
        <v>95</v>
      </c>
      <c r="G1335" s="74"/>
      <c r="H1335" s="76">
        <v>3176.0685000000008</v>
      </c>
      <c r="I1335" s="76">
        <f>VLOOKUP($C1335,'Unit tariffs'!$B$21:$F$158,5,FALSE)*$B1335</f>
        <v>3588.7446084105004</v>
      </c>
      <c r="J1335" s="95"/>
    </row>
    <row r="1336" spans="1:10" s="709" customFormat="1" ht="13" x14ac:dyDescent="0.3">
      <c r="A1336" s="714"/>
      <c r="B1336" s="85">
        <v>2.5</v>
      </c>
      <c r="C1336" s="85" t="str">
        <f>'Unit tariffs'!B138</f>
        <v>Secondary Backbone - MV Peri Urban</v>
      </c>
      <c r="D1336" s="85"/>
      <c r="E1336" s="85"/>
      <c r="F1336" s="85"/>
      <c r="G1336" s="85"/>
      <c r="H1336" s="188">
        <v>2672.7387500000004</v>
      </c>
      <c r="I1336" s="188">
        <f>VLOOKUP($C1336,'Unit tariffs'!$B$21:$F$158,5,FALSE)*$B1336</f>
        <v>3020.01571400375</v>
      </c>
      <c r="J1336" s="715"/>
    </row>
    <row r="1337" spans="1:10" ht="13" x14ac:dyDescent="0.3">
      <c r="A1337" s="91"/>
      <c r="B1337" s="74">
        <v>2.5</v>
      </c>
      <c r="C1337" s="74" t="str">
        <f>'Unit tariffs'!B$139</f>
        <v>Secondary Backbone - LV Peri Urban</v>
      </c>
      <c r="D1337" s="74"/>
      <c r="E1337" s="74"/>
      <c r="F1337" s="74" t="str">
        <f>'Unit tariffs'!C$138</f>
        <v>per kVA</v>
      </c>
      <c r="G1337" s="74"/>
      <c r="H1337" s="81">
        <v>4384.5560000000014</v>
      </c>
      <c r="I1337" s="81">
        <f>VLOOKUP($C1337,'Unit tariffs'!$B$21:$F$158,5,FALSE)*$B1337</f>
        <v>4954.2545147480005</v>
      </c>
      <c r="J1337" s="444"/>
    </row>
    <row r="1338" spans="1:10" ht="13" x14ac:dyDescent="0.3">
      <c r="A1338" s="91"/>
      <c r="B1338" s="74"/>
      <c r="C1338" s="74"/>
      <c r="D1338" s="74"/>
      <c r="E1338" s="74"/>
      <c r="F1338" s="74"/>
      <c r="G1338" s="74"/>
      <c r="H1338" s="76">
        <v>10233.363250000002</v>
      </c>
      <c r="I1338" s="76">
        <f>SUM(I1335:I1337)</f>
        <v>11563.014837162251</v>
      </c>
      <c r="J1338" s="450"/>
    </row>
    <row r="1339" spans="1:10" ht="13" x14ac:dyDescent="0.3">
      <c r="A1339" s="91"/>
      <c r="B1339" s="104" t="s">
        <v>41</v>
      </c>
      <c r="C1339" s="74"/>
      <c r="D1339" s="74"/>
      <c r="E1339" s="74"/>
      <c r="F1339" s="74"/>
      <c r="G1339" s="74"/>
      <c r="H1339" s="74"/>
      <c r="I1339" s="74"/>
      <c r="J1339" s="450"/>
    </row>
    <row r="1340" spans="1:10" ht="13" x14ac:dyDescent="0.3">
      <c r="A1340" s="91"/>
      <c r="B1340" s="74"/>
      <c r="C1340" s="74"/>
      <c r="D1340" s="74"/>
      <c r="E1340" s="74"/>
      <c r="F1340" s="74"/>
      <c r="G1340" s="74"/>
      <c r="H1340" s="74"/>
      <c r="I1340" s="74"/>
      <c r="J1340" s="444" t="s">
        <v>313</v>
      </c>
    </row>
    <row r="1341" spans="1:10" ht="13" x14ac:dyDescent="0.3">
      <c r="A1341" s="91"/>
      <c r="B1341" s="74">
        <v>1</v>
      </c>
      <c r="C1341" s="74" t="str">
        <f>'Unit tariffs'!B36</f>
        <v xml:space="preserve">Prepaid meter (Split) 3 phase - </v>
      </c>
      <c r="D1341" s="74"/>
      <c r="E1341" s="74"/>
      <c r="F1341" s="74"/>
      <c r="G1341" s="74"/>
      <c r="H1341" s="76">
        <v>7323.5537155157153</v>
      </c>
      <c r="I1341" s="76">
        <f>VLOOKUP($C1341,'Unit tariffs'!$B$21:$F$123,5,FALSE)*$B1341</f>
        <v>0</v>
      </c>
      <c r="J1341" s="457" t="e">
        <f>IF(+I1341*'Unit tariffs'!#REF!&gt;'Unit tariffs'!#REF!,'Unit tariffs'!#REF!,+I1341*'Unit tariffs'!#REF!)</f>
        <v>#REF!</v>
      </c>
    </row>
    <row r="1342" spans="1:10" ht="13" x14ac:dyDescent="0.3">
      <c r="A1342" s="91"/>
      <c r="B1342" s="74">
        <v>3</v>
      </c>
      <c r="C1342" s="74" t="str">
        <f>'Unit tariffs'!B43</f>
        <v>x 80 A circuit breaker (5kA) - Orange</v>
      </c>
      <c r="D1342" s="74"/>
      <c r="E1342" s="74"/>
      <c r="F1342" s="74"/>
      <c r="G1342" s="74"/>
      <c r="H1342" s="76">
        <v>587.413658244972</v>
      </c>
      <c r="I1342" s="76">
        <f>VLOOKUP($C1342,'Unit tariffs'!$B$21:$F$123,5,FALSE)*$B1342</f>
        <v>0</v>
      </c>
      <c r="J1342" s="457" t="e">
        <f>IF(+I1342*'Unit tariffs'!#REF!&gt;'Unit tariffs'!#REF!,'Unit tariffs'!#REF!,+I1342*'Unit tariffs'!#REF!)</f>
        <v>#REF!</v>
      </c>
    </row>
    <row r="1343" spans="1:10" ht="13" x14ac:dyDescent="0.3">
      <c r="A1343" s="91"/>
      <c r="B1343" s="74">
        <v>1</v>
      </c>
      <c r="C1343" s="74" t="str">
        <f>'Unit tariffs'!B72</f>
        <v>Cable clamp (Clampex) - K26</v>
      </c>
      <c r="D1343" s="74"/>
      <c r="E1343" s="74"/>
      <c r="F1343" s="74"/>
      <c r="G1343" s="74"/>
      <c r="H1343" s="76">
        <v>34.833456142903692</v>
      </c>
      <c r="I1343" s="76">
        <f>VLOOKUP($C1343,'Unit tariffs'!$B$21:$F$123,5,FALSE)*$B1343</f>
        <v>1423.2410081400001</v>
      </c>
      <c r="J1343" s="457" t="e">
        <f>IF(+I1343*'Unit tariffs'!#REF!&gt;'Unit tariffs'!#REF!,'Unit tariffs'!#REF!,+I1343*'Unit tariffs'!#REF!)</f>
        <v>#REF!</v>
      </c>
    </row>
    <row r="1344" spans="1:10" ht="13" x14ac:dyDescent="0.3">
      <c r="A1344" s="91"/>
      <c r="B1344" s="85">
        <v>0</v>
      </c>
      <c r="C1344" s="74" t="str">
        <f>'Unit tariffs'!B56</f>
        <v>m 16 mm x 4 Cu cable</v>
      </c>
      <c r="D1344" s="74"/>
      <c r="E1344" s="74"/>
      <c r="F1344" s="74"/>
      <c r="G1344" s="74"/>
      <c r="H1344" s="76">
        <v>0</v>
      </c>
      <c r="I1344" s="76">
        <f>VLOOKUP($C1344,'Unit tariffs'!$B$21:$F$123,5,FALSE)*$B1344</f>
        <v>0</v>
      </c>
      <c r="J1344" s="457" t="e">
        <f>IF(+I1344*'Unit tariffs'!#REF!&gt;'Unit tariffs'!#REF!,'Unit tariffs'!#REF!,+I1344*'Unit tariffs'!#REF!)</f>
        <v>#REF!</v>
      </c>
    </row>
    <row r="1345" spans="1:10" ht="13" x14ac:dyDescent="0.3">
      <c r="A1345" s="91"/>
      <c r="B1345" s="74">
        <v>1</v>
      </c>
      <c r="C1345" s="74" t="str">
        <f>'Unit tariffs'!B21</f>
        <v>Installation material</v>
      </c>
      <c r="D1345" s="74"/>
      <c r="E1345" s="74"/>
      <c r="F1345" s="74"/>
      <c r="G1345" s="74"/>
      <c r="H1345" s="81">
        <v>271.44100000000003</v>
      </c>
      <c r="I1345" s="81">
        <f>VLOOKUP($C1345,'Unit tariffs'!$B$21:$F$123,5,FALSE)*$B1345</f>
        <v>282.48325</v>
      </c>
      <c r="J1345" s="457" t="e">
        <f>IF(+I1345*'Unit tariffs'!#REF!&gt;'Unit tariffs'!#REF!,'Unit tariffs'!#REF!,+I1345*'Unit tariffs'!#REF!)</f>
        <v>#REF!</v>
      </c>
    </row>
    <row r="1346" spans="1:10" ht="13" x14ac:dyDescent="0.3">
      <c r="A1346" s="91"/>
      <c r="B1346" s="74"/>
      <c r="C1346" s="74"/>
      <c r="D1346" s="74"/>
      <c r="E1346" s="74"/>
      <c r="F1346" s="74"/>
      <c r="G1346" s="76"/>
      <c r="H1346" s="76">
        <v>8217.2418299035908</v>
      </c>
      <c r="I1346" s="76">
        <f>SUM(I1341:I1345)</f>
        <v>1705.7242581400001</v>
      </c>
      <c r="J1346" s="447"/>
    </row>
    <row r="1347" spans="1:10" ht="13" x14ac:dyDescent="0.3">
      <c r="A1347" s="91"/>
      <c r="B1347" s="104" t="s">
        <v>42</v>
      </c>
      <c r="C1347" s="74"/>
      <c r="D1347" s="74"/>
      <c r="E1347" s="74"/>
      <c r="F1347" s="74"/>
      <c r="G1347" s="74"/>
      <c r="H1347" s="74"/>
      <c r="I1347" s="74"/>
      <c r="J1347" s="447"/>
    </row>
    <row r="1348" spans="1:10" ht="13" x14ac:dyDescent="0.3">
      <c r="A1348" s="91"/>
      <c r="B1348" s="74"/>
      <c r="C1348" s="74"/>
      <c r="D1348" s="74"/>
      <c r="E1348" s="74"/>
      <c r="F1348" s="74"/>
      <c r="G1348" s="74"/>
      <c r="H1348" s="74"/>
      <c r="I1348" s="74"/>
      <c r="J1348" s="105"/>
    </row>
    <row r="1349" spans="1:10" ht="13" x14ac:dyDescent="0.3">
      <c r="A1349" s="91"/>
      <c r="B1349" s="74">
        <v>4</v>
      </c>
      <c r="C1349" s="74" t="str">
        <f>'Unit tariffs'!B$87</f>
        <v xml:space="preserve">hour-artisan </v>
      </c>
      <c r="D1349" s="74"/>
      <c r="E1349" s="74"/>
      <c r="F1349" s="74"/>
      <c r="G1349" s="74"/>
      <c r="H1349" s="76">
        <v>1291.4089269230769</v>
      </c>
      <c r="I1349" s="76">
        <f>VLOOKUP($C1349,'Unit tariffs'!$B$21:$F$123,5,FALSE)*$B1349</f>
        <v>1404.7710646153848</v>
      </c>
      <c r="J1349" s="105"/>
    </row>
    <row r="1350" spans="1:10" ht="13" x14ac:dyDescent="0.3">
      <c r="A1350" s="91"/>
      <c r="B1350" s="74">
        <v>8</v>
      </c>
      <c r="C1350" s="74" t="str">
        <f>'Unit tariffs'!B$85</f>
        <v>hour-artisan assistant</v>
      </c>
      <c r="D1350" s="74"/>
      <c r="E1350" s="74"/>
      <c r="F1350" s="74"/>
      <c r="G1350" s="74"/>
      <c r="H1350" s="81">
        <v>1028.2864615384617</v>
      </c>
      <c r="I1350" s="81">
        <f>VLOOKUP($C1350,'Unit tariffs'!$B$21:$F$123,5,FALSE)*$B1350</f>
        <v>1118.5940676923078</v>
      </c>
      <c r="J1350" s="105"/>
    </row>
    <row r="1351" spans="1:10" ht="13" x14ac:dyDescent="0.3">
      <c r="A1351" s="91"/>
      <c r="B1351" s="74"/>
      <c r="C1351" s="74"/>
      <c r="D1351" s="74"/>
      <c r="E1351" s="74"/>
      <c r="F1351" s="74"/>
      <c r="G1351" s="74"/>
      <c r="H1351" s="76">
        <v>2319.6953884615386</v>
      </c>
      <c r="I1351" s="76">
        <f>SUM(I1349:I1350)</f>
        <v>2523.3651323076929</v>
      </c>
      <c r="J1351" s="95"/>
    </row>
    <row r="1352" spans="1:10" ht="13" x14ac:dyDescent="0.3">
      <c r="A1352" s="91"/>
      <c r="B1352" s="104" t="s">
        <v>43</v>
      </c>
      <c r="C1352" s="74"/>
      <c r="D1352" s="74"/>
      <c r="E1352" s="74"/>
      <c r="F1352" s="74"/>
      <c r="G1352" s="74"/>
      <c r="H1352" s="74"/>
      <c r="I1352" s="74"/>
      <c r="J1352" s="95"/>
    </row>
    <row r="1353" spans="1:10" ht="13" x14ac:dyDescent="0.3">
      <c r="A1353" s="91"/>
      <c r="B1353" s="74"/>
      <c r="C1353" s="74"/>
      <c r="D1353" s="74"/>
      <c r="E1353" s="74"/>
      <c r="F1353" s="74"/>
      <c r="G1353" s="74"/>
      <c r="H1353" s="74"/>
      <c r="I1353" s="74"/>
      <c r="J1353" s="105"/>
    </row>
    <row r="1354" spans="1:10" ht="13" x14ac:dyDescent="0.3">
      <c r="A1354" s="91"/>
      <c r="B1354" s="74">
        <v>24</v>
      </c>
      <c r="C1354" s="74" t="str">
        <f>'Unit tariffs'!B$111</f>
        <v>km-truck with platform</v>
      </c>
      <c r="D1354" s="74"/>
      <c r="E1354" s="74"/>
      <c r="F1354" s="74"/>
      <c r="G1354" s="74"/>
      <c r="H1354" s="76">
        <v>1010.8920834182238</v>
      </c>
      <c r="I1354" s="76">
        <f>VLOOKUP($C1354,'Unit tariffs'!$B$21:$F$123,5,FALSE)*$B1354</f>
        <v>1182.7997218118533</v>
      </c>
      <c r="J1354" s="105"/>
    </row>
    <row r="1355" spans="1:10" ht="13" x14ac:dyDescent="0.3">
      <c r="A1355" s="91"/>
      <c r="B1355" s="74">
        <v>4</v>
      </c>
      <c r="C1355" s="74" t="str">
        <f>'Unit tariffs'!B$112</f>
        <v>hour-truck with platform</v>
      </c>
      <c r="D1355" s="74"/>
      <c r="E1355" s="74"/>
      <c r="F1355" s="74"/>
      <c r="G1355" s="74"/>
      <c r="H1355" s="81">
        <v>819.93766924669251</v>
      </c>
      <c r="I1355" s="81">
        <f>VLOOKUP($C1355,'Unit tariffs'!$B$21:$F$123,5,FALSE)*$B1355</f>
        <v>959.37248198511679</v>
      </c>
      <c r="J1355" s="105"/>
    </row>
    <row r="1356" spans="1:10" ht="13" x14ac:dyDescent="0.3">
      <c r="A1356" s="91"/>
      <c r="B1356" s="74"/>
      <c r="C1356" s="74"/>
      <c r="D1356" s="74"/>
      <c r="E1356" s="74"/>
      <c r="F1356" s="74"/>
      <c r="G1356" s="74"/>
      <c r="H1356" s="76">
        <v>1830.8297526649162</v>
      </c>
      <c r="I1356" s="76">
        <f>SUM(I1354:I1355)</f>
        <v>2142.1722037969703</v>
      </c>
      <c r="J1356" s="95"/>
    </row>
    <row r="1357" spans="1:10" ht="13.5" thickBot="1" x14ac:dyDescent="0.35">
      <c r="A1357" s="91"/>
      <c r="B1357" s="74"/>
      <c r="C1357" s="74"/>
      <c r="D1357" s="74"/>
      <c r="E1357" s="74"/>
      <c r="F1357" s="74"/>
      <c r="G1357" s="74"/>
      <c r="H1357" s="108"/>
      <c r="I1357" s="108"/>
      <c r="J1357" s="95"/>
    </row>
    <row r="1358" spans="1:10" ht="13.5" thickTop="1" x14ac:dyDescent="0.3">
      <c r="A1358" s="91"/>
      <c r="B1358" s="74"/>
      <c r="C1358" s="74"/>
      <c r="D1358" s="74"/>
      <c r="E1358" s="74"/>
      <c r="F1358" s="74"/>
      <c r="G1358" s="76"/>
      <c r="H1358" s="76">
        <v>22601.130221030049</v>
      </c>
      <c r="I1358" s="76">
        <f>I1356+I1351+I1346+I1338</f>
        <v>17934.276431406914</v>
      </c>
      <c r="J1358" s="105"/>
    </row>
    <row r="1359" spans="1:10" ht="13.5" thickBot="1" x14ac:dyDescent="0.35">
      <c r="A1359" s="91"/>
      <c r="B1359" s="104" t="str">
        <f>'Unit tariffs'!$B$7</f>
        <v>Administration Levy (Indirect Cost)</v>
      </c>
      <c r="C1359" s="74"/>
      <c r="D1359" s="106">
        <f>'Unit tariffs'!$C$7</f>
        <v>0.1</v>
      </c>
      <c r="E1359" s="74" t="s">
        <v>311</v>
      </c>
      <c r="F1359" s="186">
        <f>+'Unit tariffs'!$F$7</f>
        <v>10000</v>
      </c>
      <c r="G1359" s="76"/>
      <c r="H1359" s="108">
        <v>2260.1130221030048</v>
      </c>
      <c r="I1359" s="108">
        <f>IF(I1358*$D1359&gt;='Unit tariffs'!$E$7,'Unit tariffs'!$E$7,I1358*$D1359)</f>
        <v>1793.4276431406915</v>
      </c>
      <c r="J1359" s="105"/>
    </row>
    <row r="1360" spans="1:10" ht="13.5" thickTop="1" x14ac:dyDescent="0.3">
      <c r="A1360" s="91"/>
      <c r="B1360" s="104" t="s">
        <v>44</v>
      </c>
      <c r="C1360" s="74"/>
      <c r="D1360" s="74"/>
      <c r="E1360" s="74"/>
      <c r="F1360" s="74"/>
      <c r="G1360" s="76"/>
      <c r="H1360" s="109">
        <v>24861.243243133053</v>
      </c>
      <c r="I1360" s="109">
        <f>SUM(I1358:I1359)</f>
        <v>19727.704074547604</v>
      </c>
      <c r="J1360" s="105"/>
    </row>
    <row r="1361" spans="1:10" ht="13" x14ac:dyDescent="0.3">
      <c r="A1361" s="91"/>
      <c r="B1361" s="104"/>
      <c r="C1361" s="74"/>
      <c r="D1361" s="74"/>
      <c r="E1361" s="74"/>
      <c r="F1361" s="74"/>
      <c r="G1361" s="76"/>
      <c r="H1361" s="76"/>
      <c r="I1361" s="76"/>
      <c r="J1361" s="105"/>
    </row>
    <row r="1362" spans="1:10" ht="13" x14ac:dyDescent="0.3">
      <c r="A1362" s="91"/>
      <c r="B1362" s="104" t="s">
        <v>45</v>
      </c>
      <c r="C1362" s="74"/>
      <c r="D1362" s="74"/>
      <c r="E1362" s="74"/>
      <c r="F1362" s="74"/>
      <c r="G1362" s="74"/>
      <c r="H1362" s="84">
        <v>24860</v>
      </c>
      <c r="I1362" s="84">
        <f>ROUND(I1360,-1)</f>
        <v>19730</v>
      </c>
      <c r="J1362" s="105"/>
    </row>
    <row r="1363" spans="1:10" ht="13" x14ac:dyDescent="0.3">
      <c r="A1363" s="91"/>
      <c r="H1363" s="76"/>
      <c r="I1363" s="76"/>
      <c r="J1363" s="105"/>
    </row>
    <row r="1364" spans="1:10" ht="13" x14ac:dyDescent="0.3">
      <c r="A1364" s="91"/>
      <c r="B1364" s="74"/>
      <c r="C1364" s="74"/>
      <c r="D1364" s="74"/>
      <c r="E1364" s="74"/>
      <c r="F1364" s="74"/>
      <c r="G1364" s="74"/>
      <c r="H1364" s="112">
        <v>0</v>
      </c>
      <c r="I1364" s="112">
        <f>(I1362-H1362)/H1362</f>
        <v>-0.20635559131134351</v>
      </c>
      <c r="J1364" s="105"/>
    </row>
    <row r="1365" spans="1:10" ht="13.5" thickBot="1" x14ac:dyDescent="0.35">
      <c r="A1365" s="448"/>
      <c r="B1365" s="74"/>
      <c r="C1365" s="74"/>
      <c r="D1365" s="74"/>
      <c r="E1365" s="74"/>
      <c r="F1365" s="74"/>
      <c r="G1365" s="74"/>
      <c r="H1365" s="123"/>
      <c r="I1365" s="123"/>
      <c r="J1365" s="105"/>
    </row>
    <row r="1366" spans="1:10" ht="13.5" thickTop="1" x14ac:dyDescent="0.3">
      <c r="A1366" s="91"/>
      <c r="B1366" s="120" t="s">
        <v>1</v>
      </c>
      <c r="C1366" s="120"/>
      <c r="D1366" s="120"/>
      <c r="E1366" s="120"/>
      <c r="F1366" s="120"/>
      <c r="G1366" s="120"/>
      <c r="H1366" s="120"/>
      <c r="I1366" s="120"/>
      <c r="J1366" s="110"/>
    </row>
    <row r="1367" spans="1:10" ht="13" x14ac:dyDescent="0.3">
      <c r="A1367" s="91"/>
      <c r="B1367" s="92" t="s">
        <v>545</v>
      </c>
      <c r="C1367" s="93"/>
      <c r="D1367" s="93"/>
      <c r="E1367" s="93"/>
      <c r="F1367" s="93"/>
      <c r="G1367" s="94"/>
      <c r="H1367" s="132" t="s">
        <v>233</v>
      </c>
      <c r="I1367" s="132" t="s">
        <v>233</v>
      </c>
      <c r="J1367" s="105"/>
    </row>
    <row r="1368" spans="1:10" ht="13" x14ac:dyDescent="0.3">
      <c r="A1368" s="91"/>
      <c r="B1368" s="74"/>
      <c r="C1368" s="74"/>
      <c r="D1368" s="74"/>
      <c r="E1368" s="74"/>
      <c r="F1368" s="74"/>
      <c r="G1368" s="74"/>
      <c r="H1368" s="103" t="str">
        <f>+'Unit tariffs'!$F$11</f>
        <v>2026/2027</v>
      </c>
      <c r="I1368" s="103" t="str">
        <f>+'Unit tariffs'!$F$11</f>
        <v>2026/2027</v>
      </c>
      <c r="J1368" s="113"/>
    </row>
    <row r="1369" spans="1:10" ht="13" x14ac:dyDescent="0.3">
      <c r="A1369" s="91"/>
      <c r="B1369" s="74"/>
      <c r="C1369" s="74"/>
      <c r="D1369" s="74"/>
      <c r="E1369" s="74"/>
      <c r="F1369" s="74"/>
      <c r="G1369" s="74"/>
      <c r="H1369" s="127"/>
      <c r="I1369" s="127"/>
      <c r="J1369" s="95"/>
    </row>
    <row r="1370" spans="1:10" ht="13" x14ac:dyDescent="0.3">
      <c r="A1370" s="91"/>
      <c r="B1370" s="104" t="s">
        <v>117</v>
      </c>
      <c r="C1370" s="74"/>
      <c r="D1370" s="74"/>
      <c r="E1370" s="74"/>
      <c r="F1370" s="74"/>
      <c r="G1370" s="74"/>
      <c r="H1370" s="127"/>
      <c r="I1370" s="127"/>
      <c r="J1370" s="95"/>
    </row>
    <row r="1371" spans="1:10" ht="13.25" customHeight="1" x14ac:dyDescent="0.3">
      <c r="A1371" s="91"/>
      <c r="B1371" s="74" t="s">
        <v>118</v>
      </c>
      <c r="C1371" s="74"/>
      <c r="D1371" s="74"/>
      <c r="E1371" s="74"/>
      <c r="F1371" s="74"/>
      <c r="G1371" s="74"/>
      <c r="H1371" s="127"/>
      <c r="I1371" s="127"/>
      <c r="J1371" s="95"/>
    </row>
    <row r="1372" spans="1:10" s="709" customFormat="1" ht="13.25" customHeight="1" x14ac:dyDescent="0.3">
      <c r="A1372" s="714"/>
      <c r="B1372" s="85">
        <v>2.5</v>
      </c>
      <c r="C1372" s="85" t="str">
        <f>'Unit tariffs'!B132</f>
        <v>Secondary Backbone - MV Urban</v>
      </c>
      <c r="D1372" s="85"/>
      <c r="E1372" s="85"/>
      <c r="F1372" s="85"/>
      <c r="G1372" s="85"/>
      <c r="H1372" s="188">
        <v>2432.8562500000003</v>
      </c>
      <c r="I1372" s="188">
        <f>VLOOKUP($C1372,'Unit tariffs'!$B$21:$F$158,5,FALSE)*$B1372</f>
        <v>2748.9645611312508</v>
      </c>
      <c r="J1372" s="715"/>
    </row>
    <row r="1373" spans="1:10" ht="13" x14ac:dyDescent="0.3">
      <c r="A1373" s="91"/>
      <c r="B1373" s="74">
        <v>2.5</v>
      </c>
      <c r="C1373" s="74" t="str">
        <f>'Unit tariffs'!B$139</f>
        <v>Secondary Backbone - LV Peri Urban</v>
      </c>
      <c r="D1373" s="74"/>
      <c r="E1373" s="74"/>
      <c r="F1373" s="74" t="str">
        <f>'Unit tariffs'!C$138</f>
        <v>per kVA</v>
      </c>
      <c r="G1373" s="74"/>
      <c r="H1373" s="81">
        <v>4384.5560000000014</v>
      </c>
      <c r="I1373" s="81">
        <f>VLOOKUP($C1373,'Unit tariffs'!$B$21:$F$158,5,FALSE)*$B1373</f>
        <v>4954.2545147480005</v>
      </c>
      <c r="J1373" s="95"/>
    </row>
    <row r="1374" spans="1:10" ht="13" x14ac:dyDescent="0.3">
      <c r="A1374" s="91"/>
      <c r="B1374" s="74"/>
      <c r="C1374" s="74"/>
      <c r="D1374" s="74"/>
      <c r="E1374" s="74"/>
      <c r="F1374" s="74"/>
      <c r="G1374" s="74"/>
      <c r="H1374" s="76">
        <v>6817.4122500000012</v>
      </c>
      <c r="I1374" s="76">
        <f>SUM(I1372:I1373)</f>
        <v>7703.2190758792512</v>
      </c>
      <c r="J1374" s="450"/>
    </row>
    <row r="1375" spans="1:10" ht="13" x14ac:dyDescent="0.3">
      <c r="A1375" s="91"/>
      <c r="B1375" s="104" t="s">
        <v>41</v>
      </c>
      <c r="C1375" s="74"/>
      <c r="D1375" s="74"/>
      <c r="E1375" s="74"/>
      <c r="F1375" s="74"/>
      <c r="G1375" s="74"/>
      <c r="H1375" s="74"/>
      <c r="I1375" s="74"/>
      <c r="J1375" s="95"/>
    </row>
    <row r="1376" spans="1:10" ht="13" x14ac:dyDescent="0.3">
      <c r="A1376" s="91"/>
      <c r="B1376" s="74"/>
      <c r="C1376" s="74"/>
      <c r="D1376" s="74"/>
      <c r="E1376" s="74"/>
      <c r="F1376" s="74"/>
      <c r="G1376" s="74"/>
      <c r="H1376" s="74"/>
      <c r="I1376" s="74"/>
      <c r="J1376" s="444" t="s">
        <v>313</v>
      </c>
    </row>
    <row r="1377" spans="1:10" ht="13" x14ac:dyDescent="0.3">
      <c r="A1377" s="91"/>
      <c r="B1377" s="74">
        <v>1</v>
      </c>
      <c r="C1377" t="s">
        <v>312</v>
      </c>
      <c r="D1377" s="74"/>
      <c r="E1377" s="74"/>
      <c r="F1377" s="74"/>
      <c r="G1377" s="74"/>
      <c r="H1377" s="76">
        <v>5538.1406043608804</v>
      </c>
      <c r="I1377" s="76">
        <f>VLOOKUP($C1377,'Unit tariffs'!$B$21:$F$123,5,FALSE)*$B1377</f>
        <v>0</v>
      </c>
      <c r="J1377" s="457" t="e">
        <f>IF(+I1377*'Unit tariffs'!#REF!&gt;'Unit tariffs'!#REF!,'Unit tariffs'!#REF!,+I1377*'Unit tariffs'!#REF!)</f>
        <v>#REF!</v>
      </c>
    </row>
    <row r="1378" spans="1:10" ht="13" x14ac:dyDescent="0.3">
      <c r="A1378" s="91"/>
      <c r="B1378" s="85">
        <v>1</v>
      </c>
      <c r="C1378" s="151" t="str">
        <f>'Unit tariffs'!B47</f>
        <v>Modum for TOU meter</v>
      </c>
      <c r="D1378" s="85"/>
      <c r="E1378" s="85"/>
      <c r="F1378" s="85"/>
      <c r="G1378" s="85"/>
      <c r="H1378" s="188">
        <v>3707.5418271871995</v>
      </c>
      <c r="I1378" s="188">
        <f>VLOOKUP($C1378,'Unit tariffs'!$B$21:$F$123,5,FALSE)*$B1378</f>
        <v>338.07595359999993</v>
      </c>
      <c r="J1378" s="457"/>
    </row>
    <row r="1379" spans="1:10" ht="13" x14ac:dyDescent="0.3">
      <c r="A1379" s="91"/>
      <c r="B1379" s="74">
        <v>3</v>
      </c>
      <c r="C1379" s="74" t="str">
        <f>'Unit tariffs'!B43</f>
        <v>x 80 A circuit breaker (5kA) - Orange</v>
      </c>
      <c r="D1379" s="74"/>
      <c r="E1379" s="74"/>
      <c r="F1379" s="74"/>
      <c r="G1379" s="74"/>
      <c r="H1379" s="76">
        <v>587.413658244972</v>
      </c>
      <c r="I1379" s="76">
        <f>VLOOKUP($C1379,'Unit tariffs'!$B$21:$F$123,5,FALSE)*$B1379</f>
        <v>0</v>
      </c>
      <c r="J1379" s="457" t="e">
        <f>IF(+I1379*'Unit tariffs'!#REF!&gt;'Unit tariffs'!#REF!,'Unit tariffs'!#REF!,+I1379*'Unit tariffs'!#REF!)</f>
        <v>#REF!</v>
      </c>
    </row>
    <row r="1380" spans="1:10" ht="13" x14ac:dyDescent="0.3">
      <c r="A1380" s="91"/>
      <c r="B1380" s="74">
        <v>1</v>
      </c>
      <c r="C1380" s="74" t="str">
        <f>'Unit tariffs'!B72</f>
        <v>Cable clamp (Clampex) - K26</v>
      </c>
      <c r="D1380" s="74"/>
      <c r="E1380" s="74"/>
      <c r="F1380" s="74"/>
      <c r="G1380" s="74"/>
      <c r="H1380" s="76">
        <v>34.833456142903692</v>
      </c>
      <c r="I1380" s="76">
        <f>VLOOKUP($C1380,'Unit tariffs'!$B$21:$F$123,5,FALSE)*$B1380</f>
        <v>1423.2410081400001</v>
      </c>
      <c r="J1380" s="457" t="e">
        <f>IF(+I1380*'Unit tariffs'!#REF!&gt;'Unit tariffs'!#REF!,'Unit tariffs'!#REF!,+I1380*'Unit tariffs'!#REF!)</f>
        <v>#REF!</v>
      </c>
    </row>
    <row r="1381" spans="1:10" ht="13" x14ac:dyDescent="0.3">
      <c r="A1381" s="91"/>
      <c r="B1381" s="85">
        <v>0</v>
      </c>
      <c r="C1381" s="74" t="str">
        <f>'Unit tariffs'!B56</f>
        <v>m 16 mm x 4 Cu cable</v>
      </c>
      <c r="D1381" s="74"/>
      <c r="E1381" s="74"/>
      <c r="F1381" s="74"/>
      <c r="G1381" s="74"/>
      <c r="H1381" s="76">
        <v>0</v>
      </c>
      <c r="I1381" s="76">
        <f>VLOOKUP($C1381,'Unit tariffs'!$B$21:$F$123,5,FALSE)*$B1381</f>
        <v>0</v>
      </c>
      <c r="J1381" s="457" t="e">
        <f>IF(+I1381*'Unit tariffs'!#REF!&gt;'Unit tariffs'!#REF!,'Unit tariffs'!#REF!,+I1381*'Unit tariffs'!#REF!)</f>
        <v>#REF!</v>
      </c>
    </row>
    <row r="1382" spans="1:10" ht="13" x14ac:dyDescent="0.3">
      <c r="A1382" s="91"/>
      <c r="B1382" s="74">
        <v>1</v>
      </c>
      <c r="C1382" s="74" t="str">
        <f>'Unit tariffs'!B21</f>
        <v>Installation material</v>
      </c>
      <c r="D1382" s="74"/>
      <c r="E1382" s="74"/>
      <c r="F1382" s="74"/>
      <c r="G1382" s="74"/>
      <c r="H1382" s="81">
        <v>271.44100000000003</v>
      </c>
      <c r="I1382" s="81">
        <f>VLOOKUP($C1382,'Unit tariffs'!$B$21:$F$123,5,FALSE)*$B1382</f>
        <v>282.48325</v>
      </c>
      <c r="J1382" s="457" t="e">
        <f>IF(+I1382*'Unit tariffs'!#REF!&gt;'Unit tariffs'!#REF!,'Unit tariffs'!#REF!,+I1382*'Unit tariffs'!#REF!)</f>
        <v>#REF!</v>
      </c>
    </row>
    <row r="1383" spans="1:10" ht="21.75" customHeight="1" x14ac:dyDescent="0.3">
      <c r="A1383" s="91"/>
      <c r="B1383" s="74"/>
      <c r="C1383" s="74"/>
      <c r="D1383" s="74"/>
      <c r="E1383" s="74"/>
      <c r="F1383" s="74"/>
      <c r="G1383" s="76"/>
      <c r="H1383" s="76">
        <v>10139.370545935957</v>
      </c>
      <c r="I1383" s="76">
        <f>SUM(I1377:I1382)</f>
        <v>2043.8002117399999</v>
      </c>
      <c r="J1383" s="95"/>
    </row>
    <row r="1384" spans="1:10" ht="13" x14ac:dyDescent="0.3">
      <c r="A1384" s="91"/>
      <c r="B1384" s="104" t="s">
        <v>42</v>
      </c>
      <c r="C1384" s="74"/>
      <c r="D1384" s="74"/>
      <c r="E1384" s="74"/>
      <c r="F1384" s="74"/>
      <c r="G1384" s="74"/>
      <c r="H1384" s="74"/>
      <c r="I1384" s="74"/>
      <c r="J1384" s="444"/>
    </row>
    <row r="1385" spans="1:10" ht="13" x14ac:dyDescent="0.3">
      <c r="A1385" s="91"/>
      <c r="B1385" s="74"/>
      <c r="C1385" s="74"/>
      <c r="D1385" s="74"/>
      <c r="E1385" s="74"/>
      <c r="F1385" s="74"/>
      <c r="G1385" s="74"/>
      <c r="H1385" s="74"/>
      <c r="I1385" s="74"/>
      <c r="J1385" s="95"/>
    </row>
    <row r="1386" spans="1:10" ht="13" x14ac:dyDescent="0.3">
      <c r="A1386" s="91"/>
      <c r="B1386" s="74">
        <v>5</v>
      </c>
      <c r="C1386" s="74" t="str">
        <f>'Unit tariffs'!B$87</f>
        <v xml:space="preserve">hour-artisan </v>
      </c>
      <c r="D1386" s="74"/>
      <c r="E1386" s="74"/>
      <c r="F1386" s="74"/>
      <c r="G1386" s="74"/>
      <c r="H1386" s="76">
        <v>1614.2611586538462</v>
      </c>
      <c r="I1386" s="76">
        <f>VLOOKUP($C1386,'Unit tariffs'!$B$21:$F$123,5,FALSE)*$B1386</f>
        <v>1755.963830769231</v>
      </c>
      <c r="J1386" s="95"/>
    </row>
    <row r="1387" spans="1:10" ht="13" x14ac:dyDescent="0.3">
      <c r="A1387" s="91"/>
      <c r="B1387" s="74">
        <v>10</v>
      </c>
      <c r="C1387" s="74" t="str">
        <f>'Unit tariffs'!B$85</f>
        <v>hour-artisan assistant</v>
      </c>
      <c r="D1387" s="74"/>
      <c r="E1387" s="74"/>
      <c r="F1387" s="74"/>
      <c r="G1387" s="74"/>
      <c r="H1387" s="81">
        <v>1285.3580769230771</v>
      </c>
      <c r="I1387" s="81">
        <f>VLOOKUP($C1387,'Unit tariffs'!$B$21:$F$123,5,FALSE)*$B1387</f>
        <v>1398.2425846153847</v>
      </c>
      <c r="J1387" s="447"/>
    </row>
    <row r="1388" spans="1:10" ht="13" x14ac:dyDescent="0.3">
      <c r="A1388" s="91"/>
      <c r="B1388" s="74"/>
      <c r="C1388" s="74"/>
      <c r="D1388" s="74"/>
      <c r="E1388" s="74"/>
      <c r="F1388" s="74"/>
      <c r="G1388" s="74"/>
      <c r="H1388" s="76">
        <v>2899.6192355769235</v>
      </c>
      <c r="I1388" s="76">
        <f>SUM(I1386:I1387)</f>
        <v>3154.2064153846159</v>
      </c>
      <c r="J1388" s="447"/>
    </row>
    <row r="1389" spans="1:10" ht="13" x14ac:dyDescent="0.3">
      <c r="A1389" s="91"/>
      <c r="B1389" s="104" t="s">
        <v>43</v>
      </c>
      <c r="C1389" s="74"/>
      <c r="D1389" s="74"/>
      <c r="E1389" s="74"/>
      <c r="F1389" s="74"/>
      <c r="G1389" s="74"/>
      <c r="H1389" s="74"/>
      <c r="I1389" s="74"/>
      <c r="J1389" s="447"/>
    </row>
    <row r="1390" spans="1:10" ht="13" x14ac:dyDescent="0.3">
      <c r="A1390" s="91"/>
      <c r="B1390" s="74"/>
      <c r="C1390" s="74"/>
      <c r="D1390" s="74"/>
      <c r="E1390" s="74"/>
      <c r="F1390" s="74"/>
      <c r="G1390" s="74"/>
      <c r="H1390" s="74"/>
      <c r="I1390" s="74"/>
      <c r="J1390" s="447"/>
    </row>
    <row r="1391" spans="1:10" ht="13" x14ac:dyDescent="0.3">
      <c r="A1391" s="91"/>
      <c r="B1391" s="74">
        <v>24</v>
      </c>
      <c r="C1391" s="74" t="str">
        <f>'Unit tariffs'!B$111</f>
        <v>km-truck with platform</v>
      </c>
      <c r="D1391" s="74"/>
      <c r="E1391" s="74"/>
      <c r="F1391" s="74"/>
      <c r="G1391" s="74"/>
      <c r="H1391" s="76">
        <v>1010.8920834182238</v>
      </c>
      <c r="I1391" s="76">
        <f>VLOOKUP($C1391,'Unit tariffs'!$B$21:$F$123,5,FALSE)*$B1391</f>
        <v>1182.7997218118533</v>
      </c>
      <c r="J1391" s="105"/>
    </row>
    <row r="1392" spans="1:10" ht="13" x14ac:dyDescent="0.3">
      <c r="A1392" s="91"/>
      <c r="B1392" s="74">
        <v>4</v>
      </c>
      <c r="C1392" s="74" t="str">
        <f>'Unit tariffs'!B$112</f>
        <v>hour-truck with platform</v>
      </c>
      <c r="D1392" s="74"/>
      <c r="E1392" s="74"/>
      <c r="F1392" s="74"/>
      <c r="G1392" s="74"/>
      <c r="H1392" s="81">
        <v>819.93766924669251</v>
      </c>
      <c r="I1392" s="81">
        <f>VLOOKUP($C1392,'Unit tariffs'!$B$21:$F$123,5,FALSE)*$B1392</f>
        <v>959.37248198511679</v>
      </c>
      <c r="J1392" s="105"/>
    </row>
    <row r="1393" spans="1:10" ht="13" x14ac:dyDescent="0.3">
      <c r="A1393" s="91"/>
      <c r="B1393" s="74"/>
      <c r="C1393" s="74"/>
      <c r="D1393" s="74"/>
      <c r="E1393" s="74"/>
      <c r="F1393" s="74"/>
      <c r="G1393" s="74"/>
      <c r="H1393" s="76">
        <v>1830.8297526649162</v>
      </c>
      <c r="I1393" s="76">
        <f>SUM(I1391:I1392)</f>
        <v>2142.1722037969703</v>
      </c>
      <c r="J1393" s="105"/>
    </row>
    <row r="1394" spans="1:10" ht="13.5" thickBot="1" x14ac:dyDescent="0.35">
      <c r="A1394" s="91"/>
      <c r="B1394" s="74"/>
      <c r="C1394" s="74"/>
      <c r="D1394" s="74"/>
      <c r="E1394" s="74"/>
      <c r="F1394" s="74"/>
      <c r="G1394" s="74"/>
      <c r="H1394" s="108"/>
      <c r="I1394" s="108"/>
      <c r="J1394" s="95"/>
    </row>
    <row r="1395" spans="1:10" ht="13.5" thickTop="1" x14ac:dyDescent="0.3">
      <c r="A1395" s="91"/>
      <c r="B1395" s="74"/>
      <c r="C1395" s="74"/>
      <c r="D1395" s="74"/>
      <c r="E1395" s="74"/>
      <c r="F1395" s="74"/>
      <c r="G1395" s="76"/>
      <c r="H1395" s="76">
        <v>21687.231784177799</v>
      </c>
      <c r="I1395" s="76">
        <f>I1393+I1388+I1383+I1374</f>
        <v>15043.397906800838</v>
      </c>
      <c r="J1395" s="95"/>
    </row>
    <row r="1396" spans="1:10" ht="13.5" thickBot="1" x14ac:dyDescent="0.35">
      <c r="A1396" s="91"/>
      <c r="B1396" s="104" t="str">
        <f>'Unit tariffs'!$B$7</f>
        <v>Administration Levy (Indirect Cost)</v>
      </c>
      <c r="C1396" s="74"/>
      <c r="D1396" s="106">
        <f>'Unit tariffs'!$C$7</f>
        <v>0.1</v>
      </c>
      <c r="E1396" s="74" t="s">
        <v>311</v>
      </c>
      <c r="F1396" s="186">
        <f>+'Unit tariffs'!$F$7</f>
        <v>10000</v>
      </c>
      <c r="G1396" s="76"/>
      <c r="H1396" s="108">
        <v>2168.7231784177798</v>
      </c>
      <c r="I1396" s="108">
        <f>IF(I1395*$D1396&gt;='Unit tariffs'!$E$7,'Unit tariffs'!$E$7,I1395*$D1396)</f>
        <v>1504.3397906800838</v>
      </c>
      <c r="J1396" s="105"/>
    </row>
    <row r="1397" spans="1:10" ht="13.5" thickTop="1" x14ac:dyDescent="0.3">
      <c r="A1397" s="91"/>
      <c r="B1397" s="104" t="s">
        <v>44</v>
      </c>
      <c r="C1397" s="74"/>
      <c r="D1397" s="74"/>
      <c r="E1397" s="74"/>
      <c r="F1397" s="74"/>
      <c r="G1397" s="76"/>
      <c r="H1397" s="109">
        <v>23855.954962595577</v>
      </c>
      <c r="I1397" s="109">
        <f>SUM(I1395:I1396)</f>
        <v>16547.737697480923</v>
      </c>
      <c r="J1397" s="105"/>
    </row>
    <row r="1398" spans="1:10" ht="13" x14ac:dyDescent="0.3">
      <c r="A1398" s="91"/>
      <c r="B1398" s="104"/>
      <c r="C1398" s="74"/>
      <c r="D1398" s="74"/>
      <c r="E1398" s="74"/>
      <c r="F1398" s="74"/>
      <c r="G1398" s="76"/>
      <c r="H1398" s="76"/>
      <c r="I1398" s="76"/>
      <c r="J1398" s="105"/>
    </row>
    <row r="1399" spans="1:10" ht="13" x14ac:dyDescent="0.3">
      <c r="A1399" s="91"/>
      <c r="B1399" s="104" t="s">
        <v>45</v>
      </c>
      <c r="H1399" s="84">
        <v>23860</v>
      </c>
      <c r="I1399" s="84">
        <f>ROUND(I1397,-1)</f>
        <v>16550</v>
      </c>
      <c r="J1399" s="95"/>
    </row>
    <row r="1400" spans="1:10" ht="13" x14ac:dyDescent="0.3">
      <c r="A1400" s="91"/>
      <c r="C1400" s="74"/>
      <c r="D1400" s="74"/>
      <c r="E1400" s="74"/>
      <c r="F1400" s="74"/>
      <c r="G1400" s="74"/>
      <c r="H1400" s="76"/>
      <c r="I1400" s="76"/>
      <c r="J1400" s="95"/>
    </row>
    <row r="1401" spans="1:10" ht="13" x14ac:dyDescent="0.3">
      <c r="A1401" s="91"/>
      <c r="B1401" s="74"/>
      <c r="C1401" s="74"/>
      <c r="D1401" s="74"/>
      <c r="E1401" s="74"/>
      <c r="F1401" s="74"/>
      <c r="G1401" s="74"/>
      <c r="H1401" s="112">
        <v>0</v>
      </c>
      <c r="I1401" s="112">
        <f>(I1399-H1399)/H1399</f>
        <v>-0.30637049455155069</v>
      </c>
      <c r="J1401" s="105"/>
    </row>
    <row r="1402" spans="1:10" ht="13" x14ac:dyDescent="0.3">
      <c r="A1402" s="91"/>
      <c r="B1402" s="74"/>
      <c r="C1402" s="74"/>
      <c r="D1402" s="74"/>
      <c r="E1402" s="74"/>
      <c r="F1402" s="74"/>
      <c r="G1402" s="74"/>
      <c r="H1402" s="112"/>
      <c r="I1402" s="112"/>
      <c r="J1402" s="105"/>
    </row>
    <row r="1403" spans="1:10" ht="13" x14ac:dyDescent="0.3">
      <c r="A1403" s="91"/>
      <c r="B1403" s="74"/>
      <c r="C1403" s="74"/>
      <c r="D1403" s="74"/>
      <c r="E1403" s="74"/>
      <c r="F1403" s="74"/>
      <c r="G1403" s="74"/>
      <c r="H1403" s="74"/>
      <c r="I1403" s="74"/>
      <c r="J1403" s="105"/>
    </row>
    <row r="1404" spans="1:10" ht="13" x14ac:dyDescent="0.3">
      <c r="A1404" s="91"/>
      <c r="B1404" s="931" t="s">
        <v>546</v>
      </c>
      <c r="C1404" s="932"/>
      <c r="D1404" s="932"/>
      <c r="E1404" s="932"/>
      <c r="F1404" s="932"/>
      <c r="G1404" s="933"/>
      <c r="H1404" s="132" t="s">
        <v>233</v>
      </c>
      <c r="I1404" s="132" t="s">
        <v>233</v>
      </c>
      <c r="J1404" s="105"/>
    </row>
    <row r="1405" spans="1:10" ht="13" x14ac:dyDescent="0.3">
      <c r="A1405" s="91"/>
      <c r="B1405" s="74"/>
      <c r="C1405" s="74"/>
      <c r="D1405" s="74"/>
      <c r="E1405" s="74"/>
      <c r="F1405" s="74"/>
      <c r="G1405" s="74"/>
      <c r="H1405" s="103" t="str">
        <f>+'Unit tariffs'!$F$11</f>
        <v>2026/2027</v>
      </c>
      <c r="I1405" s="103" t="str">
        <f>+'Unit tariffs'!$F$11</f>
        <v>2026/2027</v>
      </c>
      <c r="J1405" s="105"/>
    </row>
    <row r="1406" spans="1:10" ht="13" x14ac:dyDescent="0.3">
      <c r="A1406" s="91"/>
      <c r="B1406" s="74"/>
      <c r="C1406" s="74"/>
      <c r="D1406" s="74"/>
      <c r="E1406" s="74"/>
      <c r="F1406" s="74"/>
      <c r="G1406" s="74"/>
      <c r="H1406" s="127"/>
      <c r="I1406" s="127"/>
      <c r="J1406" s="105"/>
    </row>
    <row r="1407" spans="1:10" ht="13" x14ac:dyDescent="0.3">
      <c r="A1407" s="91"/>
      <c r="B1407" s="104" t="s">
        <v>117</v>
      </c>
      <c r="C1407" s="74"/>
      <c r="D1407" s="74"/>
      <c r="E1407" s="74"/>
      <c r="F1407" s="74"/>
      <c r="G1407" s="74"/>
      <c r="H1407" s="127"/>
      <c r="I1407" s="127"/>
      <c r="J1407" s="105"/>
    </row>
    <row r="1408" spans="1:10" ht="13" x14ac:dyDescent="0.3">
      <c r="A1408" s="91"/>
      <c r="B1408" s="74" t="s">
        <v>118</v>
      </c>
      <c r="C1408" s="74"/>
      <c r="D1408" s="74"/>
      <c r="E1408" s="74"/>
      <c r="F1408" s="74"/>
      <c r="G1408" s="74"/>
      <c r="H1408" s="127"/>
      <c r="I1408" s="127"/>
      <c r="J1408" s="95"/>
    </row>
    <row r="1409" spans="1:10" s="709" customFormat="1" ht="13" x14ac:dyDescent="0.3">
      <c r="A1409" s="714"/>
      <c r="B1409" s="85">
        <v>2.5</v>
      </c>
      <c r="C1409" s="85" t="str">
        <f>'Unit tariffs'!B138</f>
        <v>Secondary Backbone - MV Peri Urban</v>
      </c>
      <c r="D1409" s="85"/>
      <c r="E1409" s="85"/>
      <c r="F1409" s="85"/>
      <c r="G1409" s="85"/>
      <c r="H1409" s="188">
        <v>2672.7387500000004</v>
      </c>
      <c r="I1409" s="188">
        <f>VLOOKUP($C1409,'Unit tariffs'!$B$21:$F$158,5,FALSE)*$B1409</f>
        <v>3020.01571400375</v>
      </c>
      <c r="J1409" s="715"/>
    </row>
    <row r="1410" spans="1:10" ht="13" x14ac:dyDescent="0.3">
      <c r="A1410" s="91"/>
      <c r="B1410" s="74">
        <v>2.5</v>
      </c>
      <c r="C1410" s="74" t="str">
        <f>'Unit tariffs'!B$139</f>
        <v>Secondary Backbone - LV Peri Urban</v>
      </c>
      <c r="D1410" s="74"/>
      <c r="E1410" s="74"/>
      <c r="F1410" s="74" t="str">
        <f>'Unit tariffs'!C$138</f>
        <v>per kVA</v>
      </c>
      <c r="G1410" s="74"/>
      <c r="H1410" s="81">
        <v>4384.5560000000014</v>
      </c>
      <c r="I1410" s="81">
        <f>VLOOKUP($C1410,'Unit tariffs'!$B$21:$F$158,5,FALSE)*$B1410</f>
        <v>4954.2545147480005</v>
      </c>
      <c r="J1410" s="110"/>
    </row>
    <row r="1411" spans="1:10" ht="13" x14ac:dyDescent="0.3">
      <c r="A1411" s="91"/>
      <c r="B1411" s="74"/>
      <c r="C1411" s="74"/>
      <c r="D1411" s="74"/>
      <c r="E1411" s="74"/>
      <c r="F1411" s="74"/>
      <c r="G1411" s="74"/>
      <c r="H1411" s="76">
        <v>7057.2947500000018</v>
      </c>
      <c r="I1411" s="76">
        <f>SUM(I1409:I1410)</f>
        <v>7974.2702287517504</v>
      </c>
      <c r="J1411" s="105"/>
    </row>
    <row r="1412" spans="1:10" ht="13" x14ac:dyDescent="0.3">
      <c r="A1412" s="91"/>
      <c r="B1412" s="104" t="s">
        <v>41</v>
      </c>
      <c r="C1412" s="74"/>
      <c r="D1412" s="74"/>
      <c r="E1412" s="74"/>
      <c r="F1412" s="74"/>
      <c r="G1412" s="74"/>
      <c r="H1412" s="74"/>
      <c r="I1412" s="74"/>
      <c r="J1412" s="113"/>
    </row>
    <row r="1413" spans="1:10" ht="13" x14ac:dyDescent="0.3">
      <c r="A1413" s="91"/>
      <c r="B1413" s="74"/>
      <c r="C1413" s="74"/>
      <c r="D1413" s="74"/>
      <c r="E1413" s="74"/>
      <c r="F1413" s="74"/>
      <c r="G1413" s="74"/>
      <c r="H1413" s="74"/>
      <c r="I1413" s="74"/>
      <c r="J1413" s="444" t="s">
        <v>313</v>
      </c>
    </row>
    <row r="1414" spans="1:10" ht="13" x14ac:dyDescent="0.3">
      <c r="A1414" s="91"/>
      <c r="B1414" s="74">
        <v>1</v>
      </c>
      <c r="C1414" s="74" t="str">
        <f>'Unit tariffs'!B36</f>
        <v xml:space="preserve">Prepaid meter (Split) 3 phase - </v>
      </c>
      <c r="D1414" s="74"/>
      <c r="E1414" s="74"/>
      <c r="F1414" s="74"/>
      <c r="G1414" s="74"/>
      <c r="H1414" s="189">
        <v>7323.5537155157153</v>
      </c>
      <c r="I1414" s="189">
        <f>VLOOKUP($C1414,'Unit tariffs'!$B$21:$F$123,5,FALSE)*$B1414</f>
        <v>0</v>
      </c>
      <c r="J1414" s="447" t="e">
        <f>IF(+I1414*'Unit tariffs'!#REF!&gt;'Unit tariffs'!#REF!,'Unit tariffs'!#REF!,+I1414*'Unit tariffs'!#REF!)</f>
        <v>#REF!</v>
      </c>
    </row>
    <row r="1415" spans="1:10" ht="13.25" customHeight="1" x14ac:dyDescent="0.3">
      <c r="A1415" s="91"/>
      <c r="B1415" s="74">
        <v>3</v>
      </c>
      <c r="C1415" s="74" t="str">
        <f>'Unit tariffs'!B43</f>
        <v>x 80 A circuit breaker (5kA) - Orange</v>
      </c>
      <c r="D1415" s="74"/>
      <c r="E1415" s="74"/>
      <c r="F1415" s="74"/>
      <c r="G1415" s="74"/>
      <c r="H1415" s="76">
        <v>587.413658244972</v>
      </c>
      <c r="I1415" s="76">
        <f>VLOOKUP($C1415,'Unit tariffs'!$B$21:$F$123,5,FALSE)*$B1415</f>
        <v>0</v>
      </c>
      <c r="J1415" s="447" t="e">
        <f>IF(+I1415*'Unit tariffs'!#REF!&gt;'Unit tariffs'!#REF!,'Unit tariffs'!#REF!,+I1415*'Unit tariffs'!#REF!)</f>
        <v>#REF!</v>
      </c>
    </row>
    <row r="1416" spans="1:10" ht="13" x14ac:dyDescent="0.3">
      <c r="A1416" s="91"/>
      <c r="B1416" s="74">
        <v>1</v>
      </c>
      <c r="C1416" s="74" t="str">
        <f>'Unit tariffs'!B72</f>
        <v>Cable clamp (Clampex) - K26</v>
      </c>
      <c r="D1416" s="74"/>
      <c r="E1416" s="74"/>
      <c r="F1416" s="74"/>
      <c r="G1416" s="74"/>
      <c r="H1416" s="76">
        <v>34.833456142903692</v>
      </c>
      <c r="I1416" s="76">
        <f>VLOOKUP($C1416,'Unit tariffs'!$B$21:$F$123,5,FALSE)*$B1416</f>
        <v>1423.2410081400001</v>
      </c>
      <c r="J1416" s="447" t="e">
        <f>IF(+I1416*'Unit tariffs'!#REF!&gt;'Unit tariffs'!#REF!,'Unit tariffs'!#REF!,+I1416*'Unit tariffs'!#REF!)</f>
        <v>#REF!</v>
      </c>
    </row>
    <row r="1417" spans="1:10" ht="15" customHeight="1" x14ac:dyDescent="0.3">
      <c r="A1417" s="91"/>
      <c r="B1417" s="85">
        <v>0</v>
      </c>
      <c r="C1417" s="74" t="str">
        <f>'Unit tariffs'!B56</f>
        <v>m 16 mm x 4 Cu cable</v>
      </c>
      <c r="D1417" s="74"/>
      <c r="E1417" s="74"/>
      <c r="F1417" s="74"/>
      <c r="G1417" s="74"/>
      <c r="H1417" s="76">
        <v>0</v>
      </c>
      <c r="I1417" s="76">
        <f>VLOOKUP($C1417,'Unit tariffs'!$B$21:$F$123,5,FALSE)*$B1417</f>
        <v>0</v>
      </c>
      <c r="J1417" s="447" t="e">
        <f>IF(+I1417*'Unit tariffs'!#REF!&gt;'Unit tariffs'!#REF!,'Unit tariffs'!#REF!,+I1417*'Unit tariffs'!#REF!)</f>
        <v>#REF!</v>
      </c>
    </row>
    <row r="1418" spans="1:10" ht="13" x14ac:dyDescent="0.3">
      <c r="A1418" s="91"/>
      <c r="B1418" s="74">
        <v>1</v>
      </c>
      <c r="C1418" s="74" t="str">
        <f>'Unit tariffs'!B21</f>
        <v>Installation material</v>
      </c>
      <c r="D1418" s="74"/>
      <c r="E1418" s="74"/>
      <c r="F1418" s="74"/>
      <c r="G1418" s="74"/>
      <c r="H1418" s="81">
        <v>271.44100000000003</v>
      </c>
      <c r="I1418" s="81">
        <f>VLOOKUP($C1418,'Unit tariffs'!$B$21:$F$123,5,FALSE)*$B1418</f>
        <v>282.48325</v>
      </c>
      <c r="J1418" s="447" t="e">
        <f>IF(+I1418*'Unit tariffs'!#REF!&gt;'Unit tariffs'!#REF!,'Unit tariffs'!#REF!,+I1418*'Unit tariffs'!#REF!)</f>
        <v>#REF!</v>
      </c>
    </row>
    <row r="1419" spans="1:10" ht="13" x14ac:dyDescent="0.3">
      <c r="A1419" s="91"/>
      <c r="B1419" s="74"/>
      <c r="C1419" s="74"/>
      <c r="D1419" s="74"/>
      <c r="E1419" s="74"/>
      <c r="F1419" s="74"/>
      <c r="G1419" s="76"/>
      <c r="H1419" s="76">
        <v>8217.2418299035908</v>
      </c>
      <c r="I1419" s="76">
        <f>SUM(I1414:I1418)</f>
        <v>1705.7242581400001</v>
      </c>
      <c r="J1419" s="95"/>
    </row>
    <row r="1420" spans="1:10" ht="13" x14ac:dyDescent="0.3">
      <c r="A1420" s="91"/>
      <c r="B1420" s="104" t="s">
        <v>42</v>
      </c>
      <c r="C1420" s="74"/>
      <c r="D1420" s="74"/>
      <c r="E1420" s="74"/>
      <c r="F1420" s="74"/>
      <c r="G1420" s="74"/>
      <c r="H1420" s="74"/>
      <c r="I1420" s="74"/>
      <c r="J1420" s="95"/>
    </row>
    <row r="1421" spans="1:10" ht="13" x14ac:dyDescent="0.3">
      <c r="A1421" s="91"/>
      <c r="B1421" s="74"/>
      <c r="C1421" s="74"/>
      <c r="D1421" s="74"/>
      <c r="E1421" s="74"/>
      <c r="F1421" s="74"/>
      <c r="G1421" s="74"/>
      <c r="H1421" s="74"/>
      <c r="I1421" s="74"/>
      <c r="J1421" s="95"/>
    </row>
    <row r="1422" spans="1:10" ht="13" x14ac:dyDescent="0.3">
      <c r="A1422" s="91"/>
      <c r="B1422" s="74">
        <v>4</v>
      </c>
      <c r="C1422" s="74" t="str">
        <f>'Unit tariffs'!B$87</f>
        <v xml:space="preserve">hour-artisan </v>
      </c>
      <c r="D1422" s="74"/>
      <c r="E1422" s="74"/>
      <c r="F1422" s="74"/>
      <c r="G1422" s="74"/>
      <c r="H1422" s="76">
        <v>1291.4089269230769</v>
      </c>
      <c r="I1422" s="76">
        <f>VLOOKUP($C1422,'Unit tariffs'!$B$21:$F$123,5,FALSE)*$B1422</f>
        <v>1404.7710646153848</v>
      </c>
      <c r="J1422" s="95"/>
    </row>
    <row r="1423" spans="1:10" ht="13" x14ac:dyDescent="0.3">
      <c r="A1423" s="91"/>
      <c r="B1423" s="74">
        <v>8</v>
      </c>
      <c r="C1423" s="74" t="str">
        <f>'Unit tariffs'!B$85</f>
        <v>hour-artisan assistant</v>
      </c>
      <c r="D1423" s="74"/>
      <c r="E1423" s="74"/>
      <c r="F1423" s="74"/>
      <c r="G1423" s="74"/>
      <c r="H1423" s="81">
        <v>1028.2864615384617</v>
      </c>
      <c r="I1423" s="81">
        <f>VLOOKUP($C1423,'Unit tariffs'!$B$21:$F$123,5,FALSE)*$B1423</f>
        <v>1118.5940676923078</v>
      </c>
      <c r="J1423" s="105"/>
    </row>
    <row r="1424" spans="1:10" ht="13" x14ac:dyDescent="0.3">
      <c r="A1424" s="91"/>
      <c r="B1424" s="74"/>
      <c r="C1424" s="74"/>
      <c r="D1424" s="74"/>
      <c r="E1424" s="74"/>
      <c r="F1424" s="74"/>
      <c r="G1424" s="74"/>
      <c r="H1424" s="76">
        <v>2319.6953884615386</v>
      </c>
      <c r="I1424" s="76">
        <f>SUM(I1422:I1423)</f>
        <v>2523.3651323076929</v>
      </c>
      <c r="J1424" s="105"/>
    </row>
    <row r="1425" spans="1:10" ht="13" x14ac:dyDescent="0.3">
      <c r="A1425" s="91"/>
      <c r="B1425" s="104" t="s">
        <v>43</v>
      </c>
      <c r="C1425" s="74"/>
      <c r="D1425" s="74"/>
      <c r="E1425" s="74"/>
      <c r="F1425" s="74"/>
      <c r="G1425" s="74"/>
      <c r="H1425" s="74"/>
      <c r="I1425" s="74"/>
      <c r="J1425" s="105"/>
    </row>
    <row r="1426" spans="1:10" ht="13" x14ac:dyDescent="0.3">
      <c r="A1426" s="91"/>
      <c r="B1426" s="74"/>
      <c r="C1426" s="74"/>
      <c r="D1426" s="74"/>
      <c r="E1426" s="74"/>
      <c r="F1426" s="74"/>
      <c r="G1426" s="74"/>
      <c r="H1426" s="74"/>
      <c r="I1426" s="74"/>
      <c r="J1426" s="105"/>
    </row>
    <row r="1427" spans="1:10" ht="13" x14ac:dyDescent="0.3">
      <c r="A1427" s="91"/>
      <c r="B1427" s="74">
        <v>24</v>
      </c>
      <c r="C1427" s="74" t="str">
        <f>'Unit tariffs'!B$111</f>
        <v>km-truck with platform</v>
      </c>
      <c r="D1427" s="74"/>
      <c r="E1427" s="74"/>
      <c r="F1427" s="74"/>
      <c r="G1427" s="74"/>
      <c r="H1427" s="76">
        <v>1010.8920834182238</v>
      </c>
      <c r="I1427" s="76">
        <f>VLOOKUP($C1427,'Unit tariffs'!$B$21:$F$123,5,FALSE)*$B1427</f>
        <v>1182.7997218118533</v>
      </c>
      <c r="J1427" s="95"/>
    </row>
    <row r="1428" spans="1:10" ht="13" x14ac:dyDescent="0.3">
      <c r="A1428" s="91"/>
      <c r="B1428" s="74">
        <v>4</v>
      </c>
      <c r="C1428" s="74" t="str">
        <f>'Unit tariffs'!B$112</f>
        <v>hour-truck with platform</v>
      </c>
      <c r="D1428" s="74"/>
      <c r="E1428" s="74"/>
      <c r="F1428" s="74"/>
      <c r="G1428" s="74"/>
      <c r="H1428" s="81">
        <v>819.93766924669251</v>
      </c>
      <c r="I1428" s="81">
        <f>VLOOKUP($C1428,'Unit tariffs'!$B$21:$F$123,5,FALSE)*$B1428</f>
        <v>959.37248198511679</v>
      </c>
      <c r="J1428" s="95"/>
    </row>
    <row r="1429" spans="1:10" ht="13" x14ac:dyDescent="0.3">
      <c r="A1429" s="91"/>
      <c r="B1429" s="74"/>
      <c r="C1429" s="74"/>
      <c r="D1429" s="74"/>
      <c r="E1429" s="74"/>
      <c r="F1429" s="74"/>
      <c r="G1429" s="74"/>
      <c r="H1429" s="76">
        <v>1830.8297526649162</v>
      </c>
      <c r="I1429" s="76">
        <f>SUM(I1427:I1428)</f>
        <v>2142.1722037969703</v>
      </c>
      <c r="J1429" s="105"/>
    </row>
    <row r="1430" spans="1:10" ht="13.5" thickBot="1" x14ac:dyDescent="0.35">
      <c r="A1430" s="91"/>
      <c r="B1430" s="74"/>
      <c r="C1430" s="74"/>
      <c r="D1430" s="74"/>
      <c r="E1430" s="74"/>
      <c r="F1430" s="74"/>
      <c r="G1430" s="74"/>
      <c r="H1430" s="108"/>
      <c r="I1430" s="108"/>
      <c r="J1430" s="105"/>
    </row>
    <row r="1431" spans="1:10" ht="13.5" thickTop="1" x14ac:dyDescent="0.3">
      <c r="A1431" s="91"/>
      <c r="B1431" s="74"/>
      <c r="C1431" s="74"/>
      <c r="D1431" s="74"/>
      <c r="E1431" s="74"/>
      <c r="F1431" s="74"/>
      <c r="G1431" s="76"/>
      <c r="H1431" s="76">
        <v>19425.061721030048</v>
      </c>
      <c r="I1431" s="76">
        <f>I1429+I1424+I1419+I1411</f>
        <v>14345.531822996414</v>
      </c>
      <c r="J1431" s="105"/>
    </row>
    <row r="1432" spans="1:10" ht="13.5" thickBot="1" x14ac:dyDescent="0.35">
      <c r="A1432" s="91"/>
      <c r="B1432" s="104" t="str">
        <f>'Unit tariffs'!$B$7</f>
        <v>Administration Levy (Indirect Cost)</v>
      </c>
      <c r="C1432" s="74"/>
      <c r="D1432" s="106">
        <f>'Unit tariffs'!$C$7</f>
        <v>0.1</v>
      </c>
      <c r="E1432" s="74" t="s">
        <v>311</v>
      </c>
      <c r="F1432" s="186">
        <f>+'Unit tariffs'!$F$7</f>
        <v>10000</v>
      </c>
      <c r="G1432" s="76"/>
      <c r="H1432" s="108">
        <v>1942.5061721030049</v>
      </c>
      <c r="I1432" s="108">
        <f>IF(I1431*$D1432&gt;='Unit tariffs'!$E$7,'Unit tariffs'!$E$7,I1431*$D1432)</f>
        <v>1434.5531822996415</v>
      </c>
      <c r="J1432" s="105"/>
    </row>
    <row r="1433" spans="1:10" ht="13.5" thickTop="1" x14ac:dyDescent="0.3">
      <c r="A1433" s="91"/>
      <c r="B1433" s="104" t="s">
        <v>44</v>
      </c>
      <c r="C1433" s="74"/>
      <c r="D1433" s="74"/>
      <c r="E1433" s="74"/>
      <c r="F1433" s="74"/>
      <c r="G1433" s="76"/>
      <c r="H1433" s="109">
        <v>21367.567893133051</v>
      </c>
      <c r="I1433" s="109">
        <f>SUM(I1431:I1432)</f>
        <v>15780.085005296056</v>
      </c>
      <c r="J1433" s="105"/>
    </row>
    <row r="1434" spans="1:10" ht="13" x14ac:dyDescent="0.3">
      <c r="A1434" s="91"/>
      <c r="B1434" s="104"/>
      <c r="C1434" s="74"/>
      <c r="D1434" s="74"/>
      <c r="E1434" s="74"/>
      <c r="F1434" s="74"/>
      <c r="G1434" s="76"/>
      <c r="H1434" s="76"/>
      <c r="I1434" s="76"/>
      <c r="J1434" s="105"/>
    </row>
    <row r="1435" spans="1:10" ht="13" x14ac:dyDescent="0.3">
      <c r="A1435" s="91"/>
      <c r="B1435" s="104" t="s">
        <v>45</v>
      </c>
      <c r="C1435" s="74"/>
      <c r="D1435" s="74"/>
      <c r="E1435" s="74"/>
      <c r="F1435" s="74"/>
      <c r="G1435" s="74"/>
      <c r="H1435" s="84">
        <v>21370</v>
      </c>
      <c r="I1435" s="84">
        <f>ROUND(I1433,-1)</f>
        <v>15780</v>
      </c>
      <c r="J1435" s="105"/>
    </row>
    <row r="1436" spans="1:10" ht="13" x14ac:dyDescent="0.3">
      <c r="A1436" s="91"/>
      <c r="H1436" s="76"/>
      <c r="I1436" s="76"/>
      <c r="J1436" s="95"/>
    </row>
    <row r="1437" spans="1:10" ht="13" x14ac:dyDescent="0.3">
      <c r="A1437" s="91"/>
      <c r="B1437" s="74"/>
      <c r="C1437" s="74"/>
      <c r="D1437" s="74"/>
      <c r="E1437" s="74"/>
      <c r="F1437" s="74"/>
      <c r="G1437" s="74"/>
      <c r="H1437" s="112">
        <v>0</v>
      </c>
      <c r="I1437" s="112">
        <f>(I1435-H1435)/H1435</f>
        <v>-0.26158165652784277</v>
      </c>
      <c r="J1437" s="110"/>
    </row>
    <row r="1438" spans="1:10" ht="13" x14ac:dyDescent="0.3">
      <c r="A1438" s="91"/>
      <c r="B1438" s="74"/>
      <c r="C1438" s="74"/>
      <c r="D1438" s="74"/>
      <c r="E1438" s="74"/>
      <c r="F1438" s="74"/>
      <c r="G1438" s="74"/>
      <c r="H1438" s="74"/>
      <c r="I1438" s="74"/>
      <c r="J1438" s="105"/>
    </row>
    <row r="1439" spans="1:10" ht="13" x14ac:dyDescent="0.3">
      <c r="A1439" s="91"/>
      <c r="B1439" s="74"/>
      <c r="C1439" s="74"/>
      <c r="D1439" s="74"/>
      <c r="E1439" s="74"/>
      <c r="F1439" s="74"/>
      <c r="G1439" s="74"/>
      <c r="H1439" s="74"/>
      <c r="I1439" s="74"/>
      <c r="J1439" s="105"/>
    </row>
    <row r="1440" spans="1:10" ht="13" x14ac:dyDescent="0.3">
      <c r="A1440" s="91"/>
      <c r="B1440" s="931" t="s">
        <v>198</v>
      </c>
      <c r="C1440" s="932"/>
      <c r="D1440" s="932"/>
      <c r="E1440" s="932"/>
      <c r="F1440" s="932"/>
      <c r="G1440" s="933"/>
      <c r="H1440" s="132" t="s">
        <v>244</v>
      </c>
      <c r="I1440" s="132" t="s">
        <v>244</v>
      </c>
      <c r="J1440" s="113"/>
    </row>
    <row r="1441" spans="1:10" ht="13" x14ac:dyDescent="0.3">
      <c r="A1441" s="91"/>
      <c r="B1441" s="104"/>
      <c r="C1441" s="74"/>
      <c r="D1441" s="74"/>
      <c r="E1441" s="74"/>
      <c r="F1441" s="74"/>
      <c r="G1441" s="74"/>
      <c r="H1441" s="74"/>
      <c r="I1441" s="74"/>
      <c r="J1441" s="95"/>
    </row>
    <row r="1442" spans="1:10" ht="13" x14ac:dyDescent="0.3">
      <c r="A1442" s="91"/>
      <c r="B1442" s="74"/>
      <c r="C1442" s="74"/>
      <c r="D1442" s="74"/>
      <c r="E1442" s="74"/>
      <c r="F1442" s="74"/>
      <c r="G1442" s="74"/>
      <c r="H1442" s="103" t="str">
        <f>+'Unit tariffs'!$F$11</f>
        <v>2026/2027</v>
      </c>
      <c r="I1442" s="103" t="str">
        <f>+'Unit tariffs'!$F$11</f>
        <v>2026/2027</v>
      </c>
      <c r="J1442" s="95"/>
    </row>
    <row r="1443" spans="1:10" ht="13" x14ac:dyDescent="0.3">
      <c r="A1443" s="91"/>
      <c r="B1443" s="148"/>
      <c r="C1443" s="74"/>
      <c r="D1443" s="74"/>
      <c r="E1443" s="74"/>
      <c r="F1443" s="74"/>
      <c r="G1443" s="74"/>
      <c r="H1443" s="74"/>
      <c r="I1443" s="74"/>
      <c r="J1443" s="95"/>
    </row>
    <row r="1444" spans="1:10" ht="13.5" thickBot="1" x14ac:dyDescent="0.35">
      <c r="A1444" s="91"/>
      <c r="B1444" s="104" t="s">
        <v>202</v>
      </c>
      <c r="C1444" s="74"/>
      <c r="D1444" s="106"/>
      <c r="E1444" s="74"/>
      <c r="F1444" s="74"/>
      <c r="G1444" s="74"/>
      <c r="H1444" s="108">
        <v>4980</v>
      </c>
      <c r="I1444" s="108">
        <f>+I215</f>
        <v>4930</v>
      </c>
      <c r="J1444" s="95"/>
    </row>
    <row r="1445" spans="1:10" ht="13.5" thickTop="1" x14ac:dyDescent="0.3">
      <c r="A1445" s="91"/>
      <c r="B1445" s="104"/>
      <c r="C1445" s="74"/>
      <c r="D1445" s="106"/>
      <c r="E1445" s="74"/>
      <c r="F1445" s="74"/>
      <c r="G1445" s="74"/>
      <c r="H1445" s="76">
        <v>4980</v>
      </c>
      <c r="I1445" s="76">
        <f>I1444</f>
        <v>4930</v>
      </c>
      <c r="J1445" s="95"/>
    </row>
    <row r="1446" spans="1:10" ht="13" x14ac:dyDescent="0.3">
      <c r="A1446" s="91"/>
      <c r="B1446" s="104"/>
      <c r="C1446" s="74"/>
      <c r="D1446" s="74"/>
      <c r="E1446" s="74"/>
      <c r="F1446" s="74"/>
      <c r="G1446" s="74"/>
      <c r="H1446" s="76"/>
      <c r="I1446" s="76"/>
      <c r="J1446" s="450"/>
    </row>
    <row r="1447" spans="1:10" ht="13" x14ac:dyDescent="0.3">
      <c r="A1447" s="91"/>
      <c r="B1447" s="104" t="s">
        <v>45</v>
      </c>
      <c r="C1447" s="74"/>
      <c r="D1447" s="74"/>
      <c r="E1447" s="74"/>
      <c r="F1447" s="74"/>
      <c r="G1447" s="74"/>
      <c r="H1447" s="84">
        <v>4980</v>
      </c>
      <c r="I1447" s="84">
        <f>ROUND(I1445,-1)</f>
        <v>4930</v>
      </c>
      <c r="J1447" s="95"/>
    </row>
    <row r="1448" spans="1:10" ht="13" x14ac:dyDescent="0.3">
      <c r="A1448" s="91"/>
      <c r="H1448" s="84"/>
      <c r="I1448" s="84"/>
      <c r="J1448" s="95"/>
    </row>
    <row r="1449" spans="1:10" ht="13" x14ac:dyDescent="0.3">
      <c r="A1449" s="91"/>
      <c r="B1449" s="104"/>
      <c r="C1449" s="74"/>
      <c r="D1449" s="74"/>
      <c r="E1449" s="74"/>
      <c r="F1449" s="74"/>
      <c r="G1449" s="74"/>
      <c r="H1449" s="112">
        <v>0</v>
      </c>
      <c r="I1449" s="112">
        <f>(I1447-H1447)/H1447</f>
        <v>-1.0040160642570281E-2</v>
      </c>
      <c r="J1449" s="95"/>
    </row>
    <row r="1450" spans="1:10" ht="13" x14ac:dyDescent="0.3">
      <c r="A1450" s="91"/>
      <c r="B1450" s="104"/>
      <c r="C1450" s="74"/>
      <c r="D1450" s="74"/>
      <c r="E1450" s="74"/>
      <c r="F1450" s="74"/>
      <c r="G1450" s="74"/>
      <c r="H1450" s="74"/>
      <c r="I1450" s="74"/>
      <c r="J1450" s="95"/>
    </row>
    <row r="1451" spans="1:10" ht="13" x14ac:dyDescent="0.3">
      <c r="A1451" s="91"/>
      <c r="B1451" s="74" t="s">
        <v>1</v>
      </c>
      <c r="C1451" s="74"/>
      <c r="D1451" s="74"/>
      <c r="E1451" s="74"/>
      <c r="F1451" s="74"/>
      <c r="G1451" s="74"/>
      <c r="H1451" s="74"/>
      <c r="I1451" s="74"/>
      <c r="J1451" s="105"/>
    </row>
    <row r="1452" spans="1:10" ht="13" x14ac:dyDescent="0.3">
      <c r="A1452" s="91"/>
      <c r="B1452" s="931" t="s">
        <v>199</v>
      </c>
      <c r="C1452" s="932"/>
      <c r="D1452" s="932"/>
      <c r="E1452" s="932"/>
      <c r="F1452" s="932"/>
      <c r="G1452" s="933"/>
      <c r="H1452" s="74"/>
      <c r="I1452" s="74"/>
      <c r="J1452" s="105"/>
    </row>
    <row r="1453" spans="1:10" ht="13" x14ac:dyDescent="0.3">
      <c r="A1453" s="91"/>
      <c r="B1453" s="74" t="s">
        <v>1</v>
      </c>
      <c r="C1453" s="74"/>
      <c r="D1453" s="74"/>
      <c r="E1453" s="74"/>
      <c r="F1453" s="74"/>
      <c r="G1453" s="74"/>
      <c r="H1453" s="103" t="s">
        <v>451</v>
      </c>
      <c r="I1453" s="103" t="str">
        <f>+'Unit tariffs'!$F$11</f>
        <v>2026/2027</v>
      </c>
      <c r="J1453" s="95"/>
    </row>
    <row r="1454" spans="1:10" ht="13" x14ac:dyDescent="0.3">
      <c r="A1454" s="91"/>
      <c r="B1454" s="104" t="s">
        <v>41</v>
      </c>
      <c r="C1454" s="74"/>
      <c r="D1454" s="74"/>
      <c r="E1454" s="74"/>
      <c r="F1454" s="74"/>
      <c r="G1454" s="74"/>
      <c r="H1454" s="74"/>
      <c r="I1454" s="74"/>
      <c r="J1454" s="95"/>
    </row>
    <row r="1455" spans="1:10" ht="13" x14ac:dyDescent="0.3">
      <c r="A1455" s="91"/>
      <c r="B1455" s="74"/>
      <c r="C1455" s="74"/>
      <c r="D1455" s="74"/>
      <c r="E1455" s="74"/>
      <c r="F1455" s="74"/>
      <c r="G1455" s="74"/>
      <c r="H1455" s="74"/>
      <c r="I1455" s="74"/>
      <c r="J1455" s="444" t="s">
        <v>313</v>
      </c>
    </row>
    <row r="1456" spans="1:10" ht="13" x14ac:dyDescent="0.3">
      <c r="A1456" s="91"/>
      <c r="B1456" s="74">
        <v>5</v>
      </c>
      <c r="C1456" s="74" t="str">
        <f>'Unit tariffs'!B68</f>
        <v>10 mm Copper Airdac cable</v>
      </c>
      <c r="D1456" s="74"/>
      <c r="E1456" s="74"/>
      <c r="F1456" s="74"/>
      <c r="G1456" s="74"/>
      <c r="H1456" s="76">
        <v>225.02458900000005</v>
      </c>
      <c r="I1456" s="76">
        <f>VLOOKUP($C1456,'Unit tariffs'!$B$21:$F$123,5,FALSE)*$B1456</f>
        <v>49.547562049999989</v>
      </c>
      <c r="J1456" s="447" t="e">
        <f>IF(+I1456*'Unit tariffs'!#REF!&gt;'Unit tariffs'!#REF!,'Unit tariffs'!#REF!,+I1456*'Unit tariffs'!#REF!)</f>
        <v>#REF!</v>
      </c>
    </row>
    <row r="1457" spans="1:10" ht="13" x14ac:dyDescent="0.3">
      <c r="A1457" s="91"/>
      <c r="B1457" s="74">
        <v>1</v>
      </c>
      <c r="C1457" s="74" t="str">
        <f>'Unit tariffs'!B69</f>
        <v>Strain clamp - Airdac</v>
      </c>
      <c r="D1457" s="74"/>
      <c r="E1457" s="74"/>
      <c r="F1457" s="74"/>
      <c r="G1457" s="74"/>
      <c r="H1457" s="76">
        <v>19.852472484326999</v>
      </c>
      <c r="I1457" s="76">
        <f>VLOOKUP($C1457,'Unit tariffs'!$B$21:$F$123,5,FALSE)*$B1457</f>
        <v>16.21453855</v>
      </c>
      <c r="J1457" s="447" t="e">
        <f>IF(+I1457*'Unit tariffs'!#REF!&gt;'Unit tariffs'!#REF!,'Unit tariffs'!#REF!,+I1457*'Unit tariffs'!#REF!)</f>
        <v>#REF!</v>
      </c>
    </row>
    <row r="1458" spans="1:10" ht="13" x14ac:dyDescent="0.3">
      <c r="A1458" s="91"/>
      <c r="B1458" s="74">
        <v>1</v>
      </c>
      <c r="C1458" s="74" t="str">
        <f>'Unit tariffs'!B24</f>
        <v>L-Bracket</v>
      </c>
      <c r="D1458" s="74"/>
      <c r="E1458" s="74"/>
      <c r="F1458" s="74"/>
      <c r="G1458" s="74"/>
      <c r="H1458" s="76">
        <v>89.032648000000009</v>
      </c>
      <c r="I1458" s="76">
        <f>VLOOKUP($C1458,'Unit tariffs'!$B$21:$F$123,5,FALSE)*$B1458</f>
        <v>616.94341799999995</v>
      </c>
      <c r="J1458" s="447" t="e">
        <f>IF(+I1458*'Unit tariffs'!#REF!&gt;'Unit tariffs'!#REF!,'Unit tariffs'!#REF!,+I1458*'Unit tariffs'!#REF!)</f>
        <v>#REF!</v>
      </c>
    </row>
    <row r="1459" spans="1:10" ht="13" x14ac:dyDescent="0.3">
      <c r="A1459" s="91"/>
      <c r="B1459" s="74">
        <v>2</v>
      </c>
      <c r="C1459" s="74" t="str">
        <f>'Unit tariffs'!B21</f>
        <v>Installation material</v>
      </c>
      <c r="D1459" s="74"/>
      <c r="E1459" s="74"/>
      <c r="F1459" s="74"/>
      <c r="G1459" s="74"/>
      <c r="H1459" s="81">
        <v>542.88200000000006</v>
      </c>
      <c r="I1459" s="81">
        <f>VLOOKUP($C1459,'Unit tariffs'!$B$21:$F$123,5,FALSE)*$B1459</f>
        <v>564.9665</v>
      </c>
      <c r="J1459" s="447" t="e">
        <f>IF(+I1459*'Unit tariffs'!#REF!&gt;'Unit tariffs'!#REF!,'Unit tariffs'!#REF!,+I1459*'Unit tariffs'!#REF!)</f>
        <v>#REF!</v>
      </c>
    </row>
    <row r="1460" spans="1:10" ht="13" x14ac:dyDescent="0.3">
      <c r="A1460" s="91"/>
      <c r="B1460" s="74"/>
      <c r="C1460" s="74"/>
      <c r="D1460" s="74"/>
      <c r="E1460" s="74"/>
      <c r="F1460" s="74"/>
      <c r="G1460" s="74"/>
      <c r="H1460" s="76">
        <v>876.79170948432716</v>
      </c>
      <c r="I1460" s="76">
        <f>SUM(I1456:I1459)</f>
        <v>1247.6720186</v>
      </c>
      <c r="J1460" s="95"/>
    </row>
    <row r="1461" spans="1:10" ht="13" x14ac:dyDescent="0.3">
      <c r="A1461" s="91"/>
      <c r="B1461" s="104" t="s">
        <v>42</v>
      </c>
      <c r="C1461" s="74"/>
      <c r="D1461" s="74"/>
      <c r="E1461" s="74"/>
      <c r="F1461" s="74"/>
      <c r="G1461" s="76"/>
      <c r="H1461" s="74"/>
      <c r="I1461" s="74"/>
      <c r="J1461" s="95"/>
    </row>
    <row r="1462" spans="1:10" ht="13" x14ac:dyDescent="0.3">
      <c r="A1462" s="91"/>
      <c r="B1462" s="74"/>
      <c r="C1462" s="74"/>
      <c r="D1462" s="74"/>
      <c r="E1462" s="74"/>
      <c r="F1462" s="74"/>
      <c r="G1462" s="74"/>
      <c r="H1462" s="74"/>
      <c r="I1462" s="74"/>
      <c r="J1462" s="95"/>
    </row>
    <row r="1463" spans="1:10" ht="13" x14ac:dyDescent="0.3">
      <c r="A1463" s="91"/>
      <c r="B1463" s="74">
        <v>0.5</v>
      </c>
      <c r="C1463" s="74" t="str">
        <f>'Unit tariffs'!B87</f>
        <v xml:space="preserve">hour-artisan </v>
      </c>
      <c r="D1463" s="74"/>
      <c r="E1463" s="74"/>
      <c r="F1463" s="74"/>
      <c r="G1463" s="74"/>
      <c r="H1463" s="76">
        <v>161.42611586538462</v>
      </c>
      <c r="I1463" s="76">
        <f>VLOOKUP($C1463,'Unit tariffs'!$B$21:$F$123,5,FALSE)*$B1463</f>
        <v>175.5963830769231</v>
      </c>
      <c r="J1463" s="95"/>
    </row>
    <row r="1464" spans="1:10" ht="13" x14ac:dyDescent="0.3">
      <c r="A1464" s="91"/>
      <c r="B1464" s="74">
        <v>2</v>
      </c>
      <c r="C1464" s="74" t="str">
        <f>'Unit tariffs'!B85</f>
        <v>hour-artisan assistant</v>
      </c>
      <c r="D1464" s="74"/>
      <c r="E1464" s="74"/>
      <c r="F1464" s="74"/>
      <c r="G1464" s="74"/>
      <c r="H1464" s="81">
        <v>257.07161538461543</v>
      </c>
      <c r="I1464" s="81">
        <f>VLOOKUP($C1464,'Unit tariffs'!$B$21:$F$123,5,FALSE)*$B1464</f>
        <v>279.64851692307695</v>
      </c>
      <c r="J1464" s="95"/>
    </row>
    <row r="1465" spans="1:10" ht="13" x14ac:dyDescent="0.3">
      <c r="A1465" s="91"/>
      <c r="B1465" s="74"/>
      <c r="C1465" s="74"/>
      <c r="D1465" s="74"/>
      <c r="E1465" s="74"/>
      <c r="F1465" s="74"/>
      <c r="G1465" s="74"/>
      <c r="H1465" s="76">
        <v>418.49773125000002</v>
      </c>
      <c r="I1465" s="76">
        <f>SUM(I1463:I1464)</f>
        <v>455.24490000000003</v>
      </c>
      <c r="J1465" s="95"/>
    </row>
    <row r="1466" spans="1:10" ht="13" x14ac:dyDescent="0.3">
      <c r="A1466" s="91"/>
      <c r="B1466" s="104" t="s">
        <v>43</v>
      </c>
      <c r="C1466" s="74"/>
      <c r="D1466" s="74"/>
      <c r="E1466" s="74"/>
      <c r="F1466" s="74"/>
      <c r="G1466" s="74"/>
      <c r="H1466" s="74"/>
      <c r="I1466" s="74"/>
      <c r="J1466" s="95"/>
    </row>
    <row r="1467" spans="1:10" ht="13" x14ac:dyDescent="0.3">
      <c r="A1467" s="91"/>
      <c r="B1467" s="74"/>
      <c r="C1467" s="74"/>
      <c r="D1467" s="74"/>
      <c r="E1467" s="74"/>
      <c r="F1467" s="74"/>
      <c r="G1467" s="74"/>
      <c r="H1467" s="74"/>
      <c r="I1467" s="74"/>
      <c r="J1467" s="95"/>
    </row>
    <row r="1468" spans="1:10" ht="13" x14ac:dyDescent="0.3">
      <c r="A1468" s="91"/>
      <c r="B1468" s="74">
        <v>24</v>
      </c>
      <c r="C1468" s="74" t="str">
        <f>'Unit tariffs'!B111</f>
        <v>km-truck with platform</v>
      </c>
      <c r="D1468" s="74"/>
      <c r="E1468" s="74"/>
      <c r="F1468" s="74"/>
      <c r="G1468" s="74"/>
      <c r="H1468" s="76">
        <v>1010.8920834182238</v>
      </c>
      <c r="I1468" s="76">
        <f>VLOOKUP($C1468,'Unit tariffs'!$B$21:$F$123,5,FALSE)*$B1468</f>
        <v>1182.7997218118533</v>
      </c>
      <c r="J1468" s="450"/>
    </row>
    <row r="1469" spans="1:10" ht="13" x14ac:dyDescent="0.3">
      <c r="A1469" s="91"/>
      <c r="B1469" s="74">
        <v>1</v>
      </c>
      <c r="C1469" s="74" t="str">
        <f>'Unit tariffs'!B112</f>
        <v>hour-truck with platform</v>
      </c>
      <c r="D1469" s="74"/>
      <c r="E1469" s="74"/>
      <c r="F1469" s="74"/>
      <c r="G1469" s="74"/>
      <c r="H1469" s="76">
        <v>204.98441731167313</v>
      </c>
      <c r="I1469" s="76">
        <f>VLOOKUP($C1469,'Unit tariffs'!$B$21:$F$123,5,FALSE)*$B1469</f>
        <v>239.8431204962792</v>
      </c>
      <c r="J1469" s="95"/>
    </row>
    <row r="1470" spans="1:10" ht="13" x14ac:dyDescent="0.3">
      <c r="A1470" s="91"/>
      <c r="B1470" s="74"/>
      <c r="C1470" s="74"/>
      <c r="D1470" s="74"/>
      <c r="E1470" s="74"/>
      <c r="F1470" s="74"/>
      <c r="G1470" s="74"/>
      <c r="H1470" s="137">
        <v>1215.8765007298969</v>
      </c>
      <c r="I1470" s="137">
        <f>SUM(I1468:I1469)</f>
        <v>1422.6428423081325</v>
      </c>
      <c r="J1470" s="95"/>
    </row>
    <row r="1471" spans="1:10" ht="13.5" thickBot="1" x14ac:dyDescent="0.35">
      <c r="A1471" s="91"/>
      <c r="B1471" s="104"/>
      <c r="C1471" s="74"/>
      <c r="D1471" s="106"/>
      <c r="E1471" s="74"/>
      <c r="F1471" s="74"/>
      <c r="G1471" s="74"/>
      <c r="H1471" s="108"/>
      <c r="I1471" s="108"/>
      <c r="J1471" s="95"/>
    </row>
    <row r="1472" spans="1:10" ht="13.5" thickTop="1" x14ac:dyDescent="0.3">
      <c r="A1472" s="91"/>
      <c r="B1472" s="74"/>
      <c r="C1472" s="74"/>
      <c r="D1472" s="74"/>
      <c r="E1472" s="74"/>
      <c r="F1472" s="74"/>
      <c r="G1472" s="74"/>
      <c r="H1472" s="76">
        <v>2511.165941464224</v>
      </c>
      <c r="I1472" s="76">
        <f>I1470+I1465+I1460</f>
        <v>3125.5597609081324</v>
      </c>
      <c r="J1472" s="95"/>
    </row>
    <row r="1473" spans="1:10" ht="13.5" thickBot="1" x14ac:dyDescent="0.35">
      <c r="A1473" s="91"/>
      <c r="B1473" s="104" t="str">
        <f>'Unit tariffs'!$B$7</f>
        <v>Administration Levy (Indirect Cost)</v>
      </c>
      <c r="C1473" s="74"/>
      <c r="D1473" s="106">
        <f>'Unit tariffs'!$C$7</f>
        <v>0.1</v>
      </c>
      <c r="E1473" s="74" t="s">
        <v>311</v>
      </c>
      <c r="F1473" s="186">
        <f>+'Unit tariffs'!$F$7</f>
        <v>10000</v>
      </c>
      <c r="G1473" s="76"/>
      <c r="H1473" s="108">
        <v>251.11659414642241</v>
      </c>
      <c r="I1473" s="108">
        <f>IF(I1472*$D1473&gt;='Unit tariffs'!$E$7,'Unit tariffs'!$E$7,I1472*$D1473)</f>
        <v>312.55597609081326</v>
      </c>
      <c r="J1473" s="105"/>
    </row>
    <row r="1474" spans="1:10" ht="13.5" thickTop="1" x14ac:dyDescent="0.3">
      <c r="A1474" s="91"/>
      <c r="B1474" s="104" t="s">
        <v>44</v>
      </c>
      <c r="C1474" s="74"/>
      <c r="D1474" s="74"/>
      <c r="E1474" s="74"/>
      <c r="F1474" s="74"/>
      <c r="G1474" s="76"/>
      <c r="H1474" s="109">
        <v>2762.2825356106464</v>
      </c>
      <c r="I1474" s="109">
        <f>SUM(I1472:I1473)</f>
        <v>3438.1157369989455</v>
      </c>
      <c r="J1474" s="105"/>
    </row>
    <row r="1475" spans="1:10" ht="13" x14ac:dyDescent="0.3">
      <c r="A1475" s="91"/>
      <c r="B1475" s="74"/>
      <c r="C1475" s="74"/>
      <c r="D1475" s="74"/>
      <c r="E1475" s="74"/>
      <c r="F1475" s="74"/>
      <c r="G1475" s="76"/>
      <c r="H1475" s="74"/>
      <c r="I1475" s="74"/>
      <c r="J1475" s="95"/>
    </row>
    <row r="1476" spans="1:10" ht="13" x14ac:dyDescent="0.3">
      <c r="A1476" s="91"/>
      <c r="B1476" s="104" t="s">
        <v>45</v>
      </c>
      <c r="C1476" s="74"/>
      <c r="D1476" s="74"/>
      <c r="E1476" s="74"/>
      <c r="F1476" s="74"/>
      <c r="G1476" s="74"/>
      <c r="H1476" s="84">
        <v>2760</v>
      </c>
      <c r="I1476" s="84">
        <f>ROUND(I1474,-1)</f>
        <v>3440</v>
      </c>
      <c r="J1476" s="95"/>
    </row>
    <row r="1477" spans="1:10" ht="13" x14ac:dyDescent="0.3">
      <c r="A1477" s="91"/>
      <c r="E1477" s="74"/>
      <c r="F1477" s="74"/>
      <c r="G1477" s="74"/>
      <c r="H1477" s="76"/>
      <c r="I1477" s="76"/>
      <c r="J1477" s="105"/>
    </row>
    <row r="1478" spans="1:10" ht="13" x14ac:dyDescent="0.3">
      <c r="A1478" s="91"/>
      <c r="B1478" s="74"/>
      <c r="C1478" s="74"/>
      <c r="D1478" s="74"/>
      <c r="E1478" s="74"/>
      <c r="F1478" s="74"/>
      <c r="G1478" s="74"/>
      <c r="H1478" s="112">
        <v>0</v>
      </c>
      <c r="I1478" s="112">
        <f>(I1476-H1476)/H1476</f>
        <v>0.24637681159420291</v>
      </c>
      <c r="J1478" s="105"/>
    </row>
    <row r="1479" spans="1:10" ht="13.5" thickBot="1" x14ac:dyDescent="0.35">
      <c r="A1479" s="448"/>
      <c r="B1479" s="123"/>
      <c r="C1479" s="123"/>
      <c r="D1479" s="123"/>
      <c r="E1479" s="123"/>
      <c r="F1479" s="123"/>
      <c r="G1479" s="123"/>
      <c r="H1479" s="123"/>
      <c r="I1479" s="123"/>
      <c r="J1479" s="105"/>
    </row>
    <row r="1480" spans="1:10" ht="13.5" thickTop="1" x14ac:dyDescent="0.3">
      <c r="A1480" s="91"/>
      <c r="B1480" s="74"/>
      <c r="C1480" s="74"/>
      <c r="D1480" s="74"/>
      <c r="E1480" s="74"/>
      <c r="F1480" s="74"/>
      <c r="G1480" s="74"/>
      <c r="H1480" s="74"/>
      <c r="I1480" s="74"/>
      <c r="J1480" s="95"/>
    </row>
    <row r="1481" spans="1:10" ht="13.25" customHeight="1" x14ac:dyDescent="0.3">
      <c r="A1481" s="91"/>
      <c r="B1481" s="934" t="s">
        <v>131</v>
      </c>
      <c r="C1481" s="935"/>
      <c r="D1481" s="935"/>
      <c r="E1481" s="935"/>
      <c r="F1481" s="935"/>
      <c r="G1481" s="936"/>
      <c r="H1481" s="74"/>
      <c r="I1481" s="74"/>
      <c r="J1481" s="110"/>
    </row>
    <row r="1482" spans="1:10" ht="13" x14ac:dyDescent="0.3">
      <c r="A1482" s="91"/>
      <c r="B1482" s="74"/>
      <c r="C1482" s="74"/>
      <c r="D1482" s="74"/>
      <c r="E1482" s="74"/>
      <c r="F1482" s="74"/>
      <c r="G1482" s="74"/>
      <c r="H1482" s="74"/>
      <c r="I1482" s="74"/>
      <c r="J1482" s="105"/>
    </row>
    <row r="1483" spans="1:10" ht="13.25" customHeight="1" x14ac:dyDescent="0.3">
      <c r="A1483" s="91"/>
      <c r="B1483" s="934" t="s">
        <v>132</v>
      </c>
      <c r="C1483" s="935"/>
      <c r="D1483" s="935"/>
      <c r="E1483" s="935"/>
      <c r="F1483" s="935"/>
      <c r="G1483" s="936"/>
      <c r="H1483" s="74"/>
      <c r="I1483" s="74"/>
      <c r="J1483" s="113"/>
    </row>
    <row r="1484" spans="1:10" ht="13" x14ac:dyDescent="0.3">
      <c r="A1484" s="91"/>
      <c r="B1484" s="104"/>
      <c r="C1484" s="74"/>
      <c r="D1484" s="74"/>
      <c r="E1484" s="74"/>
      <c r="F1484" s="74"/>
      <c r="G1484" s="74"/>
      <c r="H1484" s="74"/>
      <c r="I1484" s="74"/>
      <c r="J1484" s="95"/>
    </row>
    <row r="1485" spans="1:10" ht="13" x14ac:dyDescent="0.3">
      <c r="A1485" s="91"/>
      <c r="B1485" s="104" t="s">
        <v>141</v>
      </c>
      <c r="C1485" s="74"/>
      <c r="D1485" s="74"/>
      <c r="E1485" s="74"/>
      <c r="F1485" s="74"/>
      <c r="G1485" s="74"/>
      <c r="H1485" s="74"/>
      <c r="I1485" s="74"/>
      <c r="J1485" s="95"/>
    </row>
    <row r="1486" spans="1:10" ht="13" x14ac:dyDescent="0.3">
      <c r="A1486" s="91"/>
      <c r="B1486" s="74" t="s">
        <v>1</v>
      </c>
      <c r="C1486" s="74"/>
      <c r="D1486" s="74"/>
      <c r="E1486" s="74"/>
      <c r="F1486" s="74"/>
      <c r="G1486" s="74"/>
      <c r="H1486" s="103" t="str">
        <f>+'Unit tariffs'!$F$11</f>
        <v>2026/2027</v>
      </c>
      <c r="I1486" s="103" t="str">
        <f>+'Unit tariffs'!$F$11</f>
        <v>2026/2027</v>
      </c>
      <c r="J1486" s="95"/>
    </row>
    <row r="1487" spans="1:10" ht="13" x14ac:dyDescent="0.3">
      <c r="A1487" s="91"/>
      <c r="B1487" s="104" t="s">
        <v>62</v>
      </c>
      <c r="C1487" s="74"/>
      <c r="D1487" s="74"/>
      <c r="E1487" s="74"/>
      <c r="F1487" s="74"/>
      <c r="G1487" s="74"/>
      <c r="H1487" s="74"/>
      <c r="I1487" s="74"/>
      <c r="J1487" s="95"/>
    </row>
    <row r="1488" spans="1:10" ht="45.75" customHeight="1" x14ac:dyDescent="0.3">
      <c r="A1488" s="91"/>
      <c r="B1488" s="74"/>
      <c r="C1488" s="74"/>
      <c r="D1488" s="74"/>
      <c r="E1488" s="74"/>
      <c r="F1488" s="74"/>
      <c r="G1488" s="74"/>
      <c r="H1488" s="74"/>
      <c r="I1488" s="74"/>
      <c r="J1488" s="95"/>
    </row>
    <row r="1489" spans="1:12" ht="13" x14ac:dyDescent="0.3">
      <c r="A1489" s="91"/>
      <c r="B1489" s="104" t="s">
        <v>42</v>
      </c>
      <c r="C1489" s="74"/>
      <c r="D1489" s="74"/>
      <c r="E1489" s="74"/>
      <c r="F1489" s="74"/>
      <c r="G1489" s="74"/>
      <c r="H1489" s="74"/>
      <c r="I1489" s="74"/>
      <c r="J1489" s="95"/>
    </row>
    <row r="1490" spans="1:12" ht="13" x14ac:dyDescent="0.3">
      <c r="A1490" s="91"/>
      <c r="B1490" s="74"/>
      <c r="C1490" s="74"/>
      <c r="D1490" s="74"/>
      <c r="E1490" s="74"/>
      <c r="F1490" s="74"/>
      <c r="G1490" s="74"/>
      <c r="H1490" s="74"/>
      <c r="I1490" s="74"/>
      <c r="J1490" s="444"/>
    </row>
    <row r="1491" spans="1:12" ht="13" x14ac:dyDescent="0.3">
      <c r="A1491" s="91"/>
      <c r="B1491" s="74">
        <v>0.75</v>
      </c>
      <c r="C1491" s="74" t="str">
        <f>'Unit tariffs'!B86</f>
        <v>hour-meter assistant</v>
      </c>
      <c r="D1491" s="74"/>
      <c r="E1491" s="74"/>
      <c r="F1491" s="74"/>
      <c r="G1491" s="74"/>
      <c r="H1491" s="76">
        <v>96.401855769230792</v>
      </c>
      <c r="I1491" s="76">
        <f>VLOOKUP($C1491,'Unit tariffs'!$B$21:$F$123,5,FALSE)*$B1491</f>
        <v>104.86819384615386</v>
      </c>
      <c r="J1491" s="447"/>
      <c r="K1491" s="76"/>
      <c r="L1491" s="508"/>
    </row>
    <row r="1492" spans="1:12" ht="13" x14ac:dyDescent="0.3">
      <c r="A1492" s="91"/>
      <c r="B1492" s="74">
        <v>1</v>
      </c>
      <c r="C1492" s="74" t="str">
        <f>'Unit tariffs'!B$87</f>
        <v xml:space="preserve">hour-artisan </v>
      </c>
      <c r="D1492" s="74"/>
      <c r="E1492" s="74"/>
      <c r="F1492" s="74"/>
      <c r="G1492" s="74"/>
      <c r="H1492" s="76">
        <v>322.85223173076923</v>
      </c>
      <c r="I1492" s="76">
        <f>VLOOKUP($C1492,'Unit tariffs'!$B$21:$F$123,5,FALSE)*$B1492</f>
        <v>351.19276615384621</v>
      </c>
      <c r="J1492" s="447"/>
      <c r="K1492" s="111"/>
      <c r="L1492" s="508"/>
    </row>
    <row r="1493" spans="1:12" ht="13" x14ac:dyDescent="0.3">
      <c r="A1493" s="91"/>
      <c r="B1493" s="74">
        <v>1</v>
      </c>
      <c r="C1493" s="74" t="str">
        <f>'Unit tariffs'!B$85</f>
        <v>hour-artisan assistant</v>
      </c>
      <c r="D1493" s="74"/>
      <c r="E1493" s="74"/>
      <c r="F1493" s="74"/>
      <c r="G1493" s="74"/>
      <c r="H1493" s="81">
        <v>128.53580769230771</v>
      </c>
      <c r="I1493" s="81">
        <f>VLOOKUP($C1493,'Unit tariffs'!$B$21:$F$123,5,FALSE)*$B1493</f>
        <v>139.82425846153848</v>
      </c>
      <c r="J1493" s="447"/>
      <c r="K1493" s="111"/>
      <c r="L1493" s="508"/>
    </row>
    <row r="1494" spans="1:12" ht="13" x14ac:dyDescent="0.3">
      <c r="A1494" s="91"/>
      <c r="B1494" s="74"/>
      <c r="C1494" s="74"/>
      <c r="D1494" s="74"/>
      <c r="E1494" s="74"/>
      <c r="F1494" s="74"/>
      <c r="G1494" s="74"/>
      <c r="H1494" s="76">
        <v>547.78989519230777</v>
      </c>
      <c r="I1494" s="76">
        <f>SUM(I1491:I1493)</f>
        <v>595.88521846153856</v>
      </c>
      <c r="J1494" s="447"/>
      <c r="K1494" s="111"/>
      <c r="L1494" s="508"/>
    </row>
    <row r="1495" spans="1:12" ht="13" x14ac:dyDescent="0.3">
      <c r="A1495" s="91"/>
      <c r="B1495" s="104" t="s">
        <v>43</v>
      </c>
      <c r="C1495" s="74"/>
      <c r="D1495" s="74"/>
      <c r="E1495" s="74"/>
      <c r="F1495" s="74"/>
      <c r="G1495" s="74"/>
      <c r="H1495" s="74"/>
      <c r="I1495" s="74"/>
      <c r="J1495" s="447"/>
    </row>
    <row r="1496" spans="1:12" ht="13" x14ac:dyDescent="0.3">
      <c r="A1496" s="91"/>
      <c r="B1496" s="74"/>
      <c r="C1496" s="74"/>
      <c r="D1496" s="74"/>
      <c r="E1496" s="74"/>
      <c r="F1496" s="74"/>
      <c r="G1496" s="74"/>
      <c r="H1496" s="74"/>
      <c r="I1496" s="74"/>
      <c r="J1496" s="105"/>
    </row>
    <row r="1497" spans="1:12" ht="13" x14ac:dyDescent="0.3">
      <c r="A1497" s="91"/>
      <c r="B1497" s="74">
        <v>20</v>
      </c>
      <c r="C1497" s="74" t="str">
        <f>'Unit tariffs'!B$115</f>
        <v>km-panel van</v>
      </c>
      <c r="D1497" s="74"/>
      <c r="E1497" s="74"/>
      <c r="F1497" s="74"/>
      <c r="G1497" s="74"/>
      <c r="H1497" s="76">
        <v>468.1101057729108</v>
      </c>
      <c r="I1497" s="76">
        <f>VLOOKUP($C1497,'Unit tariffs'!$B$21:$F$123,5,FALSE)*$B1497</f>
        <v>547.71474815917486</v>
      </c>
      <c r="J1497" s="105"/>
    </row>
    <row r="1498" spans="1:12" ht="13" x14ac:dyDescent="0.3">
      <c r="A1498" s="91"/>
      <c r="B1498" s="74">
        <v>1.25</v>
      </c>
      <c r="C1498" s="74" t="str">
        <f>'Unit tariffs'!B$116</f>
        <v>hour-panel van</v>
      </c>
      <c r="D1498" s="74"/>
      <c r="E1498" s="74"/>
      <c r="F1498" s="74"/>
      <c r="G1498" s="74"/>
      <c r="H1498" s="76">
        <v>255.70196398968008</v>
      </c>
      <c r="I1498" s="76">
        <f>VLOOKUP($C1498,'Unit tariffs'!$B$21:$F$123,5,FALSE)*$B1498</f>
        <v>299.18545889790261</v>
      </c>
      <c r="J1498" s="105"/>
    </row>
    <row r="1499" spans="1:12" ht="13" x14ac:dyDescent="0.3">
      <c r="A1499" s="91"/>
      <c r="B1499" s="74"/>
      <c r="C1499" s="74"/>
      <c r="D1499" s="74"/>
      <c r="E1499" s="74"/>
      <c r="F1499" s="74"/>
      <c r="G1499" s="74"/>
      <c r="H1499" s="137">
        <v>723.81206976259091</v>
      </c>
      <c r="I1499" s="137">
        <f>SUM(I1497:I1498)</f>
        <v>846.90020705707752</v>
      </c>
      <c r="J1499" s="95"/>
      <c r="K1499" s="111"/>
      <c r="L1499" s="508"/>
    </row>
    <row r="1500" spans="1:12" ht="13.5" thickBot="1" x14ac:dyDescent="0.35">
      <c r="A1500" s="91"/>
      <c r="B1500" s="104"/>
      <c r="C1500" s="74"/>
      <c r="D1500" s="106"/>
      <c r="E1500" s="74"/>
      <c r="F1500" s="74"/>
      <c r="G1500" s="74"/>
      <c r="H1500" s="108"/>
      <c r="I1500" s="108"/>
      <c r="J1500" s="95"/>
    </row>
    <row r="1501" spans="1:12" ht="13.5" thickTop="1" x14ac:dyDescent="0.3">
      <c r="A1501" s="91"/>
      <c r="B1501" s="74"/>
      <c r="C1501" s="74"/>
      <c r="D1501" s="74"/>
      <c r="E1501" s="74"/>
      <c r="F1501" s="74"/>
      <c r="G1501" s="74"/>
      <c r="H1501" s="76">
        <v>1271.6019649548987</v>
      </c>
      <c r="I1501" s="76">
        <f>I1499+I1494</f>
        <v>1442.7854255186162</v>
      </c>
      <c r="J1501" s="105"/>
      <c r="K1501" s="111"/>
      <c r="L1501" s="508"/>
    </row>
    <row r="1502" spans="1:12" ht="13.5" thickBot="1" x14ac:dyDescent="0.35">
      <c r="A1502" s="91"/>
      <c r="B1502" s="104" t="str">
        <f>'Unit tariffs'!$B$7</f>
        <v>Administration Levy (Indirect Cost)</v>
      </c>
      <c r="C1502" s="74"/>
      <c r="D1502" s="106">
        <f>'Unit tariffs'!$C$7</f>
        <v>0.1</v>
      </c>
      <c r="E1502" s="74" t="s">
        <v>311</v>
      </c>
      <c r="F1502" s="186">
        <f>+'Unit tariffs'!$F$7</f>
        <v>10000</v>
      </c>
      <c r="G1502" s="76"/>
      <c r="H1502" s="108">
        <v>127.16019649548987</v>
      </c>
      <c r="I1502" s="108">
        <f>IF(I1501*$D1502&gt;='Unit tariffs'!$E$7,'Unit tariffs'!$E$7,I1501*$D1502)</f>
        <v>144.27854255186162</v>
      </c>
      <c r="J1502" s="105"/>
    </row>
    <row r="1503" spans="1:12" ht="13.5" thickTop="1" x14ac:dyDescent="0.3">
      <c r="A1503" s="91"/>
      <c r="B1503" s="104" t="s">
        <v>44</v>
      </c>
      <c r="C1503" s="74"/>
      <c r="D1503" s="74"/>
      <c r="E1503" s="74"/>
      <c r="F1503" s="74"/>
      <c r="G1503" s="76"/>
      <c r="H1503" s="109">
        <v>1398.7621614503885</v>
      </c>
      <c r="I1503" s="109">
        <f>SUM(I1501:I1502)</f>
        <v>1587.0639680704778</v>
      </c>
      <c r="J1503" s="105"/>
    </row>
    <row r="1504" spans="1:12" ht="13" x14ac:dyDescent="0.3">
      <c r="A1504" s="91"/>
      <c r="B1504" s="74"/>
      <c r="C1504" s="74"/>
      <c r="D1504" s="74"/>
      <c r="E1504" s="74"/>
      <c r="F1504" s="74"/>
      <c r="G1504" s="76"/>
      <c r="H1504" s="74"/>
      <c r="I1504" s="74"/>
      <c r="J1504" s="95"/>
    </row>
    <row r="1505" spans="1:10" ht="13" x14ac:dyDescent="0.3">
      <c r="A1505" s="91"/>
      <c r="B1505" s="104" t="s">
        <v>45</v>
      </c>
      <c r="C1505" s="74"/>
      <c r="D1505" s="74"/>
      <c r="E1505" s="74"/>
      <c r="F1505" s="74"/>
      <c r="G1505" s="74"/>
      <c r="H1505" s="84">
        <v>1400</v>
      </c>
      <c r="I1505" s="84">
        <f>ROUND(I1503,-1)</f>
        <v>1590</v>
      </c>
      <c r="J1505" s="95"/>
    </row>
    <row r="1506" spans="1:10" ht="13" x14ac:dyDescent="0.3">
      <c r="A1506" s="91"/>
      <c r="E1506" s="74"/>
      <c r="F1506" s="74"/>
      <c r="G1506" s="74"/>
      <c r="H1506" s="76"/>
      <c r="I1506" s="76"/>
      <c r="J1506" s="105"/>
    </row>
    <row r="1507" spans="1:10" ht="13" x14ac:dyDescent="0.3">
      <c r="A1507" s="91"/>
      <c r="E1507" s="74"/>
      <c r="F1507" s="74"/>
      <c r="G1507" s="74"/>
      <c r="H1507" s="112">
        <v>0</v>
      </c>
      <c r="I1507" s="112">
        <f>(I1505-H1505)/H1505</f>
        <v>0.1357142857142857</v>
      </c>
      <c r="J1507" s="105"/>
    </row>
    <row r="1508" spans="1:10" ht="13.5" thickBot="1" x14ac:dyDescent="0.35">
      <c r="A1508" s="91"/>
      <c r="B1508" s="74"/>
      <c r="C1508" s="74"/>
      <c r="D1508" s="74"/>
      <c r="E1508" s="74"/>
      <c r="F1508" s="74"/>
      <c r="G1508" s="74"/>
      <c r="J1508" s="105"/>
    </row>
    <row r="1509" spans="1:10" ht="13.5" thickTop="1" x14ac:dyDescent="0.3">
      <c r="A1509" s="445"/>
      <c r="B1509" s="120" t="s">
        <v>1</v>
      </c>
      <c r="C1509" s="120"/>
      <c r="D1509" s="120"/>
      <c r="E1509" s="120"/>
      <c r="F1509" s="120"/>
      <c r="G1509" s="120"/>
      <c r="H1509" s="120"/>
      <c r="I1509" s="120"/>
      <c r="J1509" s="105"/>
    </row>
    <row r="1510" spans="1:10" ht="13" x14ac:dyDescent="0.3">
      <c r="A1510" s="91"/>
      <c r="B1510" s="92" t="s">
        <v>133</v>
      </c>
      <c r="C1510" s="93"/>
      <c r="D1510" s="93"/>
      <c r="E1510" s="93"/>
      <c r="F1510" s="93"/>
      <c r="G1510" s="93"/>
      <c r="H1510" s="74"/>
      <c r="I1510" s="74"/>
      <c r="J1510" s="105"/>
    </row>
    <row r="1511" spans="1:10" ht="13" x14ac:dyDescent="0.3">
      <c r="A1511" s="91"/>
      <c r="B1511" s="104"/>
      <c r="C1511" s="74"/>
      <c r="D1511" s="74"/>
      <c r="E1511" s="74"/>
      <c r="F1511" s="74"/>
      <c r="G1511" s="74"/>
      <c r="H1511" s="74"/>
      <c r="I1511" s="74"/>
      <c r="J1511" s="105"/>
    </row>
    <row r="1512" spans="1:10" ht="13" x14ac:dyDescent="0.3">
      <c r="A1512" s="91"/>
      <c r="B1512" s="104" t="s">
        <v>142</v>
      </c>
      <c r="C1512" s="74"/>
      <c r="D1512" s="74"/>
      <c r="E1512" s="74"/>
      <c r="F1512" s="74"/>
      <c r="G1512" s="74"/>
      <c r="H1512" s="74"/>
      <c r="I1512" s="74"/>
      <c r="J1512" s="105"/>
    </row>
    <row r="1513" spans="1:10" ht="13" x14ac:dyDescent="0.3">
      <c r="A1513" s="91"/>
      <c r="B1513" s="74" t="s">
        <v>1</v>
      </c>
      <c r="C1513" s="74"/>
      <c r="D1513" s="74"/>
      <c r="E1513" s="74"/>
      <c r="F1513" s="74"/>
      <c r="G1513" s="74"/>
      <c r="H1513" s="74"/>
      <c r="I1513" s="74"/>
      <c r="J1513" s="95"/>
    </row>
    <row r="1514" spans="1:10" ht="13" x14ac:dyDescent="0.3">
      <c r="A1514" s="91"/>
      <c r="B1514" s="74"/>
      <c r="C1514" s="74"/>
      <c r="D1514" s="74"/>
      <c r="E1514" s="74"/>
      <c r="F1514" s="74"/>
      <c r="G1514" s="74"/>
      <c r="H1514" s="103" t="s">
        <v>451</v>
      </c>
      <c r="I1514" s="103" t="str">
        <f>+'Unit tariffs'!$F$11</f>
        <v>2026/2027</v>
      </c>
      <c r="J1514" s="110"/>
    </row>
    <row r="1515" spans="1:10" ht="13" x14ac:dyDescent="0.3">
      <c r="A1515" s="91"/>
      <c r="B1515" s="104" t="s">
        <v>62</v>
      </c>
      <c r="C1515" s="74"/>
      <c r="D1515" s="74"/>
      <c r="E1515" s="74"/>
      <c r="F1515" s="74"/>
      <c r="G1515" s="74"/>
      <c r="H1515" s="74"/>
      <c r="I1515" s="74"/>
      <c r="J1515" s="105"/>
    </row>
    <row r="1516" spans="1:10" ht="13" x14ac:dyDescent="0.3">
      <c r="A1516" s="91"/>
      <c r="B1516" s="74"/>
      <c r="C1516" s="74"/>
      <c r="D1516" s="74"/>
      <c r="E1516" s="74"/>
      <c r="F1516" s="74"/>
      <c r="G1516" s="74"/>
      <c r="H1516" s="74"/>
      <c r="I1516" s="74"/>
      <c r="J1516" s="113"/>
    </row>
    <row r="1517" spans="1:10" ht="13" x14ac:dyDescent="0.3">
      <c r="A1517" s="91"/>
      <c r="B1517" s="104" t="s">
        <v>42</v>
      </c>
      <c r="C1517" s="74"/>
      <c r="D1517" s="74"/>
      <c r="E1517" s="74"/>
      <c r="F1517" s="74"/>
      <c r="G1517" s="74"/>
      <c r="H1517" s="74"/>
      <c r="I1517" s="74"/>
      <c r="J1517" s="95"/>
    </row>
    <row r="1518" spans="1:10" ht="13" x14ac:dyDescent="0.3">
      <c r="A1518" s="91"/>
      <c r="B1518" s="74"/>
      <c r="C1518" s="74"/>
      <c r="D1518" s="74"/>
      <c r="E1518" s="74"/>
      <c r="F1518" s="74"/>
      <c r="G1518" s="74"/>
      <c r="H1518" s="74"/>
      <c r="I1518" s="74"/>
      <c r="J1518" s="95"/>
    </row>
    <row r="1519" spans="1:10" ht="13" x14ac:dyDescent="0.3">
      <c r="A1519" s="91"/>
      <c r="B1519" s="74">
        <v>2.2000000000000002</v>
      </c>
      <c r="C1519" s="74" t="str">
        <f>'Unit tariffs'!B86</f>
        <v>hour-meter assistant</v>
      </c>
      <c r="D1519" s="74"/>
      <c r="E1519" s="74"/>
      <c r="F1519" s="74"/>
      <c r="G1519" s="74"/>
      <c r="H1519" s="81">
        <v>282.77877692307698</v>
      </c>
      <c r="I1519" s="81">
        <f>VLOOKUP($C1519,'Unit tariffs'!$B$21:$F$123,5,FALSE)*$B1519</f>
        <v>307.61336861538467</v>
      </c>
      <c r="J1519" s="95"/>
    </row>
    <row r="1520" spans="1:10" ht="13" x14ac:dyDescent="0.3">
      <c r="A1520" s="91"/>
      <c r="B1520" s="74"/>
      <c r="C1520" s="74"/>
      <c r="D1520" s="74"/>
      <c r="E1520" s="74"/>
      <c r="F1520" s="74"/>
      <c r="G1520" s="74"/>
      <c r="H1520" s="76">
        <v>282.77877692307698</v>
      </c>
      <c r="I1520" s="76">
        <f>SUM(I1519:I1519)</f>
        <v>307.61336861538467</v>
      </c>
      <c r="J1520" s="95"/>
    </row>
    <row r="1521" spans="1:10" ht="39" customHeight="1" x14ac:dyDescent="0.3">
      <c r="A1521" s="91"/>
      <c r="B1521" s="104" t="s">
        <v>63</v>
      </c>
      <c r="C1521" s="74"/>
      <c r="D1521" s="74"/>
      <c r="E1521" s="74"/>
      <c r="F1521" s="74"/>
      <c r="G1521" s="74"/>
      <c r="H1521" s="74"/>
      <c r="I1521" s="74"/>
      <c r="J1521" s="95"/>
    </row>
    <row r="1522" spans="1:10" ht="13.5" thickBot="1" x14ac:dyDescent="0.35">
      <c r="A1522" s="91"/>
      <c r="B1522" s="104"/>
      <c r="C1522" s="74"/>
      <c r="D1522" s="74"/>
      <c r="E1522" s="74"/>
      <c r="F1522" s="74"/>
      <c r="G1522" s="74"/>
      <c r="H1522" s="123"/>
      <c r="I1522" s="123"/>
      <c r="J1522" s="95"/>
    </row>
    <row r="1523" spans="1:10" ht="13.5" thickTop="1" x14ac:dyDescent="0.3">
      <c r="A1523" s="91"/>
      <c r="B1523" s="74"/>
      <c r="C1523" s="74"/>
      <c r="D1523" s="74"/>
      <c r="E1523" s="74"/>
      <c r="F1523" s="74"/>
      <c r="G1523" s="76"/>
      <c r="H1523" s="76">
        <v>282.77877692307698</v>
      </c>
      <c r="I1523" s="76">
        <f>I1520</f>
        <v>307.61336861538467</v>
      </c>
      <c r="J1523" s="444"/>
    </row>
    <row r="1524" spans="1:10" ht="13.5" thickBot="1" x14ac:dyDescent="0.35">
      <c r="A1524" s="91"/>
      <c r="B1524" s="104" t="str">
        <f>'Unit tariffs'!$B$7</f>
        <v>Administration Levy (Indirect Cost)</v>
      </c>
      <c r="C1524" s="74"/>
      <c r="D1524" s="106">
        <f>'Unit tariffs'!$C$7</f>
        <v>0.1</v>
      </c>
      <c r="E1524" s="74" t="s">
        <v>311</v>
      </c>
      <c r="F1524" s="186">
        <f>+'Unit tariffs'!$F$7</f>
        <v>10000</v>
      </c>
      <c r="G1524" s="76"/>
      <c r="H1524" s="108">
        <v>28.277877692307698</v>
      </c>
      <c r="I1524" s="108">
        <f>IF(I1523*$D1524&gt;='Unit tariffs'!$E$7,'Unit tariffs'!$E$7,I1523*$D1524)</f>
        <v>30.761336861538467</v>
      </c>
      <c r="J1524" s="95"/>
    </row>
    <row r="1525" spans="1:10" ht="13.5" thickTop="1" x14ac:dyDescent="0.3">
      <c r="A1525" s="91"/>
      <c r="B1525" s="104" t="s">
        <v>44</v>
      </c>
      <c r="C1525" s="74"/>
      <c r="D1525" s="74"/>
      <c r="E1525" s="74"/>
      <c r="F1525" s="74"/>
      <c r="G1525" s="76"/>
      <c r="H1525" s="109">
        <v>311.05665461538467</v>
      </c>
      <c r="I1525" s="109">
        <f>SUM(I1523:I1524)</f>
        <v>338.37470547692317</v>
      </c>
      <c r="J1525" s="95"/>
    </row>
    <row r="1526" spans="1:10" ht="13" x14ac:dyDescent="0.3">
      <c r="A1526" s="91"/>
      <c r="B1526" s="74"/>
      <c r="C1526" s="74"/>
      <c r="D1526" s="74"/>
      <c r="E1526" s="74"/>
      <c r="F1526" s="74"/>
      <c r="G1526" s="74"/>
      <c r="H1526" s="74"/>
      <c r="I1526" s="74"/>
      <c r="J1526" s="105"/>
    </row>
    <row r="1527" spans="1:10" ht="13" x14ac:dyDescent="0.3">
      <c r="A1527" s="91"/>
      <c r="B1527" s="104" t="s">
        <v>45</v>
      </c>
      <c r="C1527" s="74"/>
      <c r="D1527" s="74"/>
      <c r="E1527" s="74"/>
      <c r="F1527" s="74"/>
      <c r="G1527" s="74"/>
      <c r="H1527" s="84">
        <v>311</v>
      </c>
      <c r="I1527" s="84">
        <f>ROUND(I1525,0)</f>
        <v>338</v>
      </c>
      <c r="J1527" s="447"/>
    </row>
    <row r="1528" spans="1:10" ht="13" x14ac:dyDescent="0.3">
      <c r="A1528" s="91"/>
      <c r="B1528" s="74"/>
      <c r="C1528" s="74"/>
      <c r="D1528" s="74"/>
      <c r="E1528" s="74"/>
      <c r="F1528" s="74"/>
      <c r="G1528" s="74"/>
      <c r="H1528" s="76"/>
      <c r="I1528" s="76"/>
      <c r="J1528" s="447"/>
    </row>
    <row r="1529" spans="1:10" ht="13" x14ac:dyDescent="0.3">
      <c r="A1529" s="91"/>
      <c r="B1529" s="74"/>
      <c r="C1529" s="74"/>
      <c r="D1529" s="74"/>
      <c r="E1529" s="74"/>
      <c r="F1529" s="74"/>
      <c r="G1529" s="74"/>
      <c r="H1529" s="112">
        <v>0</v>
      </c>
      <c r="I1529" s="112">
        <f>(I1527-H1527)/H1527</f>
        <v>8.6816720257234734E-2</v>
      </c>
      <c r="J1529" s="105"/>
    </row>
    <row r="1530" spans="1:10" ht="13.5" thickBot="1" x14ac:dyDescent="0.35">
      <c r="A1530" s="448"/>
      <c r="B1530" s="123"/>
      <c r="C1530" s="123"/>
      <c r="D1530" s="123"/>
      <c r="E1530" s="123"/>
      <c r="F1530" s="123"/>
      <c r="G1530" s="123"/>
      <c r="H1530" s="123"/>
      <c r="I1530" s="123"/>
      <c r="J1530" s="105"/>
    </row>
    <row r="1531" spans="1:10" ht="13.5" thickTop="1" x14ac:dyDescent="0.3">
      <c r="A1531" s="91"/>
      <c r="H1531" s="74"/>
      <c r="I1531" s="74"/>
      <c r="J1531" s="105"/>
    </row>
    <row r="1532" spans="1:10" ht="13.5" thickBot="1" x14ac:dyDescent="0.35">
      <c r="A1532" s="91"/>
      <c r="B1532" s="74"/>
      <c r="C1532" s="74"/>
      <c r="D1532" s="74"/>
      <c r="E1532" s="74"/>
      <c r="F1532" s="74"/>
      <c r="G1532" s="74"/>
      <c r="H1532" s="74"/>
      <c r="I1532" s="74"/>
      <c r="J1532" s="95"/>
    </row>
    <row r="1533" spans="1:10" ht="13.5" thickTop="1" x14ac:dyDescent="0.3">
      <c r="A1533" s="445"/>
      <c r="B1533" s="120" t="s">
        <v>1</v>
      </c>
      <c r="C1533" s="120"/>
      <c r="D1533" s="120"/>
      <c r="E1533" s="120"/>
      <c r="F1533" s="120"/>
      <c r="G1533" s="120"/>
      <c r="H1533" s="120"/>
      <c r="I1533" s="120"/>
      <c r="J1533" s="95"/>
    </row>
    <row r="1534" spans="1:10" ht="13" x14ac:dyDescent="0.3">
      <c r="A1534" s="91"/>
      <c r="B1534" s="92" t="s">
        <v>134</v>
      </c>
      <c r="C1534" s="93"/>
      <c r="D1534" s="93"/>
      <c r="E1534" s="93"/>
      <c r="F1534" s="93"/>
      <c r="G1534" s="93"/>
      <c r="H1534" s="74"/>
      <c r="I1534" s="74"/>
      <c r="J1534" s="105"/>
    </row>
    <row r="1535" spans="1:10" ht="13" x14ac:dyDescent="0.3">
      <c r="A1535" s="91"/>
      <c r="B1535" s="104"/>
      <c r="C1535" s="74"/>
      <c r="D1535" s="74"/>
      <c r="E1535" s="74"/>
      <c r="F1535" s="74"/>
      <c r="G1535" s="74"/>
      <c r="H1535" s="74"/>
      <c r="I1535" s="74"/>
      <c r="J1535" s="105"/>
    </row>
    <row r="1536" spans="1:10" ht="13" x14ac:dyDescent="0.3">
      <c r="A1536" s="91"/>
      <c r="B1536" s="104" t="s">
        <v>142</v>
      </c>
      <c r="C1536" s="74"/>
      <c r="D1536" s="74"/>
      <c r="E1536" s="74"/>
      <c r="F1536" s="74"/>
      <c r="G1536" s="74"/>
      <c r="H1536" s="74"/>
      <c r="I1536" s="74"/>
      <c r="J1536" s="105"/>
    </row>
    <row r="1537" spans="1:10" ht="13" x14ac:dyDescent="0.3">
      <c r="A1537" s="91"/>
      <c r="B1537" s="74" t="s">
        <v>1</v>
      </c>
      <c r="C1537" s="74"/>
      <c r="D1537" s="74"/>
      <c r="E1537" s="74"/>
      <c r="F1537" s="74"/>
      <c r="G1537" s="74"/>
      <c r="H1537" s="74"/>
      <c r="I1537" s="74"/>
      <c r="J1537" s="95"/>
    </row>
    <row r="1538" spans="1:10" ht="13" x14ac:dyDescent="0.3">
      <c r="A1538" s="91"/>
      <c r="B1538" s="74"/>
      <c r="C1538" s="74"/>
      <c r="D1538" s="74"/>
      <c r="E1538" s="74"/>
      <c r="F1538" s="74"/>
      <c r="G1538" s="74"/>
      <c r="H1538" s="103" t="s">
        <v>451</v>
      </c>
      <c r="I1538" s="103" t="str">
        <f>+'Unit tariffs'!$F$11</f>
        <v>2026/2027</v>
      </c>
      <c r="J1538" s="95"/>
    </row>
    <row r="1539" spans="1:10" ht="13" x14ac:dyDescent="0.3">
      <c r="A1539" s="91"/>
      <c r="B1539" s="104" t="s">
        <v>62</v>
      </c>
      <c r="C1539" s="74"/>
      <c r="D1539" s="74"/>
      <c r="E1539" s="74"/>
      <c r="F1539" s="74"/>
      <c r="G1539" s="74"/>
      <c r="H1539" s="74"/>
      <c r="I1539" s="74"/>
      <c r="J1539" s="105"/>
    </row>
    <row r="1540" spans="1:10" ht="13" x14ac:dyDescent="0.3">
      <c r="A1540" s="91"/>
      <c r="B1540" s="74"/>
      <c r="C1540" s="74"/>
      <c r="D1540" s="74"/>
      <c r="E1540" s="74"/>
      <c r="F1540" s="74"/>
      <c r="G1540" s="74"/>
      <c r="H1540" s="74"/>
      <c r="I1540" s="74"/>
      <c r="J1540" s="105"/>
    </row>
    <row r="1541" spans="1:10" ht="13" x14ac:dyDescent="0.3">
      <c r="A1541" s="91"/>
      <c r="B1541" s="104" t="s">
        <v>42</v>
      </c>
      <c r="C1541" s="74"/>
      <c r="D1541" s="74"/>
      <c r="E1541" s="74"/>
      <c r="F1541" s="74"/>
      <c r="G1541" s="74"/>
      <c r="H1541" s="74"/>
      <c r="I1541" s="74"/>
      <c r="J1541" s="105"/>
    </row>
    <row r="1542" spans="1:10" ht="13" x14ac:dyDescent="0.3">
      <c r="A1542" s="91"/>
      <c r="B1542" s="74"/>
      <c r="C1542" s="74"/>
      <c r="D1542" s="74"/>
      <c r="E1542" s="74"/>
      <c r="F1542" s="74"/>
      <c r="G1542" s="74"/>
      <c r="H1542" s="74"/>
      <c r="I1542" s="74"/>
      <c r="J1542" s="105"/>
    </row>
    <row r="1543" spans="1:10" ht="13" x14ac:dyDescent="0.3">
      <c r="A1543" s="91"/>
      <c r="B1543" s="74">
        <v>4</v>
      </c>
      <c r="C1543" s="74" t="str">
        <f>'Unit tariffs'!B89</f>
        <v xml:space="preserve">hour-Eng asst </v>
      </c>
      <c r="D1543" s="74"/>
      <c r="E1543" s="74"/>
      <c r="F1543" s="74"/>
      <c r="G1543" s="74"/>
      <c r="H1543" s="81">
        <v>1062.2643115384617</v>
      </c>
      <c r="I1543" s="81">
        <f>VLOOKUP($C1543,'Unit tariffs'!$B$21:$F$123,5,FALSE)*$B1543</f>
        <v>1227.2824984615386</v>
      </c>
      <c r="J1543" s="105"/>
    </row>
    <row r="1544" spans="1:10" ht="13" x14ac:dyDescent="0.3">
      <c r="A1544" s="91"/>
      <c r="B1544" s="74"/>
      <c r="C1544" s="74"/>
      <c r="D1544" s="74"/>
      <c r="E1544" s="74"/>
      <c r="F1544" s="74"/>
      <c r="G1544" s="74"/>
      <c r="H1544" s="76">
        <v>1062.2643115384617</v>
      </c>
      <c r="I1544" s="76">
        <f>SUM(I1543:I1543)</f>
        <v>1227.2824984615386</v>
      </c>
      <c r="J1544" s="105"/>
    </row>
    <row r="1545" spans="1:10" ht="13" x14ac:dyDescent="0.3">
      <c r="A1545" s="91"/>
      <c r="B1545" s="104" t="s">
        <v>63</v>
      </c>
      <c r="C1545" s="74"/>
      <c r="D1545" s="74"/>
      <c r="E1545" s="74"/>
      <c r="F1545" s="74"/>
      <c r="G1545" s="74"/>
      <c r="H1545" s="74"/>
      <c r="I1545" s="74"/>
      <c r="J1545" s="105"/>
    </row>
    <row r="1546" spans="1:10" ht="13.5" thickBot="1" x14ac:dyDescent="0.35">
      <c r="A1546" s="91"/>
      <c r="B1546" s="104"/>
      <c r="C1546" s="74"/>
      <c r="D1546" s="74"/>
      <c r="E1546" s="74"/>
      <c r="F1546" s="74"/>
      <c r="G1546" s="74"/>
      <c r="H1546" s="123"/>
      <c r="I1546" s="123"/>
      <c r="J1546" s="95"/>
    </row>
    <row r="1547" spans="1:10" ht="13.5" thickTop="1" x14ac:dyDescent="0.3">
      <c r="A1547" s="91"/>
      <c r="B1547" s="74"/>
      <c r="C1547" s="74"/>
      <c r="D1547" s="74"/>
      <c r="E1547" s="74"/>
      <c r="F1547" s="74"/>
      <c r="G1547" s="76"/>
      <c r="H1547" s="76">
        <v>1062.2643115384617</v>
      </c>
      <c r="I1547" s="76">
        <f>I1544</f>
        <v>1227.2824984615386</v>
      </c>
      <c r="J1547" s="110"/>
    </row>
    <row r="1548" spans="1:10" ht="13.5" thickBot="1" x14ac:dyDescent="0.35">
      <c r="A1548" s="91"/>
      <c r="B1548" s="104" t="str">
        <f>'Unit tariffs'!$B$7</f>
        <v>Administration Levy (Indirect Cost)</v>
      </c>
      <c r="C1548" s="74"/>
      <c r="D1548" s="106">
        <f>'Unit tariffs'!$C$7</f>
        <v>0.1</v>
      </c>
      <c r="E1548" s="74" t="s">
        <v>311</v>
      </c>
      <c r="F1548" s="186">
        <f>+'Unit tariffs'!$F$7</f>
        <v>10000</v>
      </c>
      <c r="G1548" s="76"/>
      <c r="H1548" s="108">
        <v>106.22643115384618</v>
      </c>
      <c r="I1548" s="108">
        <f>IF(I1547*$D1548&gt;='Unit tariffs'!$E$7,'Unit tariffs'!$E$7,I1547*$D1548)</f>
        <v>122.72824984615386</v>
      </c>
      <c r="J1548" s="105"/>
    </row>
    <row r="1549" spans="1:10" ht="13.5" thickTop="1" x14ac:dyDescent="0.3">
      <c r="A1549" s="91"/>
      <c r="B1549" s="104" t="s">
        <v>44</v>
      </c>
      <c r="C1549" s="74"/>
      <c r="D1549" s="74"/>
      <c r="E1549" s="74"/>
      <c r="F1549" s="74"/>
      <c r="G1549" s="76"/>
      <c r="H1549" s="109">
        <v>1168.4907426923078</v>
      </c>
      <c r="I1549" s="109">
        <f>SUM(I1547:I1548)</f>
        <v>1350.0107483076924</v>
      </c>
      <c r="J1549" s="113"/>
    </row>
    <row r="1550" spans="1:10" ht="13" x14ac:dyDescent="0.3">
      <c r="A1550" s="91"/>
      <c r="B1550" s="74"/>
      <c r="C1550" s="74"/>
      <c r="D1550" s="74"/>
      <c r="E1550" s="74"/>
      <c r="F1550" s="74"/>
      <c r="G1550" s="74"/>
      <c r="H1550" s="74"/>
      <c r="I1550" s="74"/>
      <c r="J1550" s="95"/>
    </row>
    <row r="1551" spans="1:10" ht="13" x14ac:dyDescent="0.3">
      <c r="A1551" s="91"/>
      <c r="B1551" s="104" t="s">
        <v>45</v>
      </c>
      <c r="C1551" s="74"/>
      <c r="D1551" s="74"/>
      <c r="E1551" s="74"/>
      <c r="F1551" s="74"/>
      <c r="G1551" s="74"/>
      <c r="H1551" s="84">
        <v>1170</v>
      </c>
      <c r="I1551" s="84">
        <f>ROUND(I1549,-1)</f>
        <v>1350</v>
      </c>
      <c r="J1551" s="95"/>
    </row>
    <row r="1552" spans="1:10" ht="13" x14ac:dyDescent="0.3">
      <c r="A1552" s="91"/>
      <c r="B1552" s="74"/>
      <c r="C1552" s="74"/>
      <c r="D1552" s="74"/>
      <c r="E1552" s="74"/>
      <c r="F1552" s="74"/>
      <c r="G1552" s="74"/>
      <c r="H1552" s="76"/>
      <c r="I1552" s="76"/>
      <c r="J1552" s="95"/>
    </row>
    <row r="1553" spans="1:10" ht="13" x14ac:dyDescent="0.3">
      <c r="A1553" s="91"/>
      <c r="B1553" s="92" t="s">
        <v>466</v>
      </c>
      <c r="C1553" s="93"/>
      <c r="D1553" s="93"/>
      <c r="E1553" s="93"/>
      <c r="F1553" s="93"/>
      <c r="G1553" s="93"/>
      <c r="H1553" s="74"/>
      <c r="I1553" s="74"/>
      <c r="J1553" s="105"/>
    </row>
    <row r="1554" spans="1:10" ht="13" x14ac:dyDescent="0.3">
      <c r="A1554" s="91"/>
      <c r="B1554" s="104"/>
      <c r="C1554" s="74"/>
      <c r="D1554" s="74"/>
      <c r="E1554" s="74"/>
      <c r="F1554" s="74"/>
      <c r="G1554" s="74"/>
      <c r="H1554" s="74"/>
      <c r="I1554" s="74"/>
      <c r="J1554" s="105"/>
    </row>
    <row r="1555" spans="1:10" ht="13" x14ac:dyDescent="0.3">
      <c r="A1555" s="91"/>
      <c r="B1555" s="104" t="s">
        <v>142</v>
      </c>
      <c r="C1555" s="74"/>
      <c r="D1555" s="74"/>
      <c r="E1555" s="74"/>
      <c r="F1555" s="74"/>
      <c r="G1555" s="74"/>
      <c r="H1555" s="74"/>
      <c r="I1555" s="74"/>
      <c r="J1555" s="105"/>
    </row>
    <row r="1556" spans="1:10" ht="13" x14ac:dyDescent="0.3">
      <c r="A1556" s="91"/>
      <c r="B1556" s="74" t="s">
        <v>1</v>
      </c>
      <c r="C1556" s="74"/>
      <c r="D1556" s="74"/>
      <c r="E1556" s="74"/>
      <c r="F1556" s="74"/>
      <c r="G1556" s="74"/>
      <c r="H1556" s="74"/>
      <c r="I1556" s="74"/>
      <c r="J1556" s="95"/>
    </row>
    <row r="1557" spans="1:10" ht="13" x14ac:dyDescent="0.3">
      <c r="A1557" s="91"/>
      <c r="B1557" s="74"/>
      <c r="C1557" s="74"/>
      <c r="D1557" s="74"/>
      <c r="E1557" s="74"/>
      <c r="F1557" s="74"/>
      <c r="G1557" s="74"/>
      <c r="H1557" s="103" t="s">
        <v>451</v>
      </c>
      <c r="I1557" s="103" t="str">
        <f>+'Unit tariffs'!$F$11</f>
        <v>2026/2027</v>
      </c>
      <c r="J1557" s="95"/>
    </row>
    <row r="1558" spans="1:10" ht="13" x14ac:dyDescent="0.3">
      <c r="A1558" s="91"/>
      <c r="B1558" s="104" t="s">
        <v>62</v>
      </c>
      <c r="C1558" s="74"/>
      <c r="D1558" s="74"/>
      <c r="E1558" s="74"/>
      <c r="F1558" s="74"/>
      <c r="G1558" s="74"/>
      <c r="H1558" s="74"/>
      <c r="I1558" s="74"/>
      <c r="J1558" s="105"/>
    </row>
    <row r="1559" spans="1:10" ht="13" x14ac:dyDescent="0.3">
      <c r="A1559" s="91"/>
      <c r="B1559" s="74"/>
      <c r="C1559" s="74"/>
      <c r="D1559" s="74"/>
      <c r="E1559" s="74"/>
      <c r="F1559" s="74"/>
      <c r="G1559" s="74"/>
      <c r="J1559" s="105"/>
    </row>
    <row r="1560" spans="1:10" ht="13" x14ac:dyDescent="0.3">
      <c r="A1560" s="91"/>
      <c r="B1560" s="104" t="s">
        <v>42</v>
      </c>
      <c r="C1560" s="74"/>
      <c r="D1560" s="74"/>
      <c r="E1560" s="74"/>
      <c r="F1560" s="74"/>
      <c r="G1560" s="74"/>
      <c r="H1560" s="76"/>
      <c r="I1560" s="76"/>
      <c r="J1560" s="105"/>
    </row>
    <row r="1561" spans="1:10" ht="13" x14ac:dyDescent="0.3">
      <c r="A1561" s="91"/>
      <c r="B1561" s="104" t="s">
        <v>560</v>
      </c>
      <c r="C1561" s="104" t="s">
        <v>561</v>
      </c>
      <c r="D1561" s="74"/>
      <c r="E1561" s="74"/>
      <c r="F1561" s="74"/>
      <c r="G1561" s="74"/>
      <c r="H1561" s="76"/>
      <c r="I1561" s="76"/>
      <c r="J1561" s="105"/>
    </row>
    <row r="1562" spans="1:10" ht="13" x14ac:dyDescent="0.3">
      <c r="A1562" s="91"/>
      <c r="B1562" s="74">
        <v>10</v>
      </c>
      <c r="C1562" s="74" t="str">
        <f>'Unit tariffs'!B89</f>
        <v xml:space="preserve">hour-Eng asst </v>
      </c>
      <c r="D1562" s="74"/>
      <c r="E1562" s="74"/>
      <c r="F1562" s="74"/>
      <c r="G1562" s="74"/>
      <c r="H1562" s="76">
        <v>2655.6607788461542</v>
      </c>
      <c r="I1562" s="76">
        <f>VLOOKUP($C1562,'Unit tariffs'!$B$21:$F$123,5,FALSE)*$B1562</f>
        <v>3068.2062461538462</v>
      </c>
      <c r="J1562" s="105"/>
    </row>
    <row r="1563" spans="1:10" ht="13" x14ac:dyDescent="0.3">
      <c r="A1563" s="91"/>
      <c r="B1563" s="646">
        <v>10</v>
      </c>
      <c r="C1563" s="74" t="str">
        <f>'Unit tariffs'!B90</f>
        <v>hour-Snr Eng Assistant</v>
      </c>
      <c r="D1563" s="74"/>
      <c r="E1563" s="74"/>
      <c r="F1563" s="74"/>
      <c r="G1563" s="74"/>
      <c r="H1563" s="76">
        <v>3228.5223173076924</v>
      </c>
      <c r="I1563" s="76">
        <f>VLOOKUP($C1563,'Unit tariffs'!$B$21:$F$123,5,FALSE)*$B1563</f>
        <v>3511.927661538462</v>
      </c>
      <c r="J1563" s="105"/>
    </row>
    <row r="1564" spans="1:10" ht="13" x14ac:dyDescent="0.3">
      <c r="A1564" s="91"/>
      <c r="B1564" s="646">
        <v>10</v>
      </c>
      <c r="C1564" s="74" t="str">
        <f>'Unit tariffs'!B91</f>
        <v>hour-First Eng Assistant</v>
      </c>
      <c r="D1564" s="74"/>
      <c r="E1564" s="74"/>
      <c r="F1564" s="74"/>
      <c r="G1564" s="74"/>
      <c r="H1564" s="81">
        <v>3423.2057307692312</v>
      </c>
      <c r="I1564" s="81">
        <f>VLOOKUP($C1564,'Unit tariffs'!$B$21:$F$123,5,FALSE)*$B1564</f>
        <v>4213.5599076923081</v>
      </c>
      <c r="J1564" s="105"/>
    </row>
    <row r="1565" spans="1:10" ht="13" x14ac:dyDescent="0.3">
      <c r="A1565" s="91"/>
      <c r="C1565" s="74"/>
      <c r="D1565" s="74"/>
      <c r="E1565" s="74"/>
      <c r="F1565" s="74"/>
      <c r="G1565" s="74"/>
      <c r="H1565" s="76">
        <v>9307.3888269230774</v>
      </c>
      <c r="I1565" s="76">
        <f>SUM(I1562:I1564)</f>
        <v>10793.693815384617</v>
      </c>
      <c r="J1565" s="76"/>
    </row>
    <row r="1566" spans="1:10" ht="13" x14ac:dyDescent="0.3">
      <c r="A1566" s="91"/>
      <c r="B1566" s="104" t="s">
        <v>562</v>
      </c>
      <c r="D1566" s="74"/>
      <c r="E1566" s="74"/>
      <c r="F1566" s="74"/>
      <c r="G1566" s="74"/>
      <c r="H1566" s="74" t="s">
        <v>1</v>
      </c>
      <c r="I1566" s="74" t="s">
        <v>1</v>
      </c>
      <c r="J1566" s="105"/>
    </row>
    <row r="1567" spans="1:10" ht="13" x14ac:dyDescent="0.3">
      <c r="A1567" s="91"/>
      <c r="B1567" s="104"/>
      <c r="C1567" s="74" t="s">
        <v>563</v>
      </c>
      <c r="D1567" s="74"/>
      <c r="E1567" s="74"/>
      <c r="F1567" s="74"/>
      <c r="G1567" s="74"/>
      <c r="H1567" s="81">
        <v>4093.75</v>
      </c>
      <c r="I1567" s="81">
        <f>250*16.375</f>
        <v>4093.75</v>
      </c>
      <c r="J1567" s="105"/>
    </row>
    <row r="1568" spans="1:10" ht="13.5" thickBot="1" x14ac:dyDescent="0.35">
      <c r="A1568" s="91"/>
      <c r="B1568" s="104"/>
      <c r="C1568" s="74"/>
      <c r="D1568" s="74"/>
      <c r="E1568" s="74"/>
      <c r="F1568" s="74"/>
      <c r="G1568" s="74"/>
      <c r="H1568" s="108">
        <v>4093.75</v>
      </c>
      <c r="I1568" s="108">
        <f>SUM(I1567)</f>
        <v>4093.75</v>
      </c>
      <c r="J1568" s="95"/>
    </row>
    <row r="1569" spans="1:13" ht="13.5" thickTop="1" x14ac:dyDescent="0.3">
      <c r="A1569" s="91"/>
      <c r="B1569" s="74"/>
      <c r="C1569" s="74"/>
      <c r="D1569" s="74"/>
      <c r="E1569" s="74"/>
      <c r="F1569" s="74"/>
      <c r="G1569" s="76"/>
      <c r="H1569" s="76">
        <v>13401.138826923077</v>
      </c>
      <c r="I1569" s="76">
        <f>I1565+I1568</f>
        <v>14887.443815384617</v>
      </c>
      <c r="J1569" s="110"/>
    </row>
    <row r="1570" spans="1:13" ht="13.5" thickBot="1" x14ac:dyDescent="0.35">
      <c r="A1570" s="91"/>
      <c r="B1570" s="104" t="str">
        <f>'Unit tariffs'!$B$7</f>
        <v>Administration Levy (Indirect Cost)</v>
      </c>
      <c r="C1570" s="74"/>
      <c r="D1570" s="106">
        <f>'Unit tariffs'!$C$7</f>
        <v>0.1</v>
      </c>
      <c r="E1570" s="74" t="s">
        <v>311</v>
      </c>
      <c r="F1570" s="186">
        <f>+'Unit tariffs'!$F$7</f>
        <v>10000</v>
      </c>
      <c r="G1570" s="76"/>
      <c r="H1570" s="108">
        <v>1340.1138826923079</v>
      </c>
      <c r="I1570" s="108">
        <f>IF(I1569*$D1570&gt;='Unit tariffs'!$E$7,'Unit tariffs'!$E$7,I1569*$D1570)</f>
        <v>1488.7443815384618</v>
      </c>
      <c r="J1570" s="105"/>
    </row>
    <row r="1571" spans="1:13" ht="13.5" thickTop="1" x14ac:dyDescent="0.3">
      <c r="A1571" s="91"/>
      <c r="B1571" s="104" t="s">
        <v>44</v>
      </c>
      <c r="C1571" s="74"/>
      <c r="D1571" s="74"/>
      <c r="E1571" s="74"/>
      <c r="F1571" s="74"/>
      <c r="G1571" s="76"/>
      <c r="H1571" s="109">
        <v>14741.252709615386</v>
      </c>
      <c r="I1571" s="109">
        <f>SUM(I1569:I1570)</f>
        <v>16376.188196923078</v>
      </c>
      <c r="J1571" s="113"/>
    </row>
    <row r="1572" spans="1:13" ht="13" x14ac:dyDescent="0.3">
      <c r="A1572" s="91"/>
      <c r="B1572" s="74"/>
      <c r="C1572" s="74"/>
      <c r="D1572" s="74"/>
      <c r="E1572" s="74"/>
      <c r="F1572" s="74"/>
      <c r="G1572" s="74"/>
      <c r="H1572" s="74"/>
      <c r="I1572" s="74"/>
      <c r="J1572" s="95"/>
    </row>
    <row r="1573" spans="1:13" ht="13" x14ac:dyDescent="0.3">
      <c r="A1573" s="91"/>
      <c r="B1573" s="74"/>
      <c r="C1573" s="74"/>
      <c r="D1573" s="74"/>
      <c r="E1573" s="74"/>
      <c r="F1573" s="74"/>
      <c r="G1573" s="74"/>
      <c r="H1573" s="74"/>
      <c r="I1573" s="74"/>
      <c r="J1573" s="95"/>
      <c r="K1573" s="111"/>
      <c r="L1573" s="76"/>
      <c r="M1573" s="659"/>
    </row>
    <row r="1574" spans="1:13" ht="13" x14ac:dyDescent="0.3">
      <c r="A1574" s="91"/>
      <c r="B1574" s="104" t="s">
        <v>45</v>
      </c>
      <c r="C1574" s="74"/>
      <c r="D1574" s="74"/>
      <c r="E1574" s="74"/>
      <c r="F1574" s="74"/>
      <c r="G1574" s="74"/>
      <c r="H1574" s="84">
        <v>14740</v>
      </c>
      <c r="I1574" s="84">
        <f>ROUND(I1571,-1)</f>
        <v>16380</v>
      </c>
      <c r="J1574" s="95"/>
      <c r="K1574" s="111"/>
      <c r="L1574" s="76"/>
      <c r="M1574" s="659"/>
    </row>
    <row r="1575" spans="1:13" ht="13" x14ac:dyDescent="0.3">
      <c r="A1575" s="91"/>
      <c r="B1575" s="74"/>
      <c r="C1575" s="74"/>
      <c r="D1575" s="74"/>
      <c r="E1575" s="74"/>
      <c r="F1575" s="74"/>
      <c r="G1575" s="74"/>
      <c r="H1575" s="76"/>
      <c r="I1575" s="76"/>
      <c r="J1575" s="95"/>
    </row>
    <row r="1576" spans="1:13" ht="13" x14ac:dyDescent="0.3">
      <c r="A1576" s="91"/>
      <c r="B1576" s="74"/>
      <c r="C1576" s="74"/>
      <c r="D1576" s="74"/>
      <c r="E1576" s="74"/>
      <c r="F1576" s="74"/>
      <c r="G1576" s="74"/>
      <c r="H1576" s="112">
        <v>0</v>
      </c>
      <c r="I1576" s="112">
        <f>(I1574-H1574)/H1574</f>
        <v>0.1112618724559023</v>
      </c>
      <c r="J1576" s="95"/>
    </row>
    <row r="1577" spans="1:13" ht="13" x14ac:dyDescent="0.3">
      <c r="A1577" s="91"/>
      <c r="B1577" s="74"/>
      <c r="C1577" s="74"/>
      <c r="D1577" s="74"/>
      <c r="E1577" s="74"/>
      <c r="F1577" s="74"/>
      <c r="G1577" s="74"/>
      <c r="H1577" s="112"/>
      <c r="I1577" s="112"/>
      <c r="J1577" s="95"/>
    </row>
    <row r="1578" spans="1:13" ht="13" x14ac:dyDescent="0.3">
      <c r="A1578" s="91"/>
      <c r="B1578" s="943" t="s">
        <v>480</v>
      </c>
      <c r="C1578" s="944"/>
      <c r="D1578" s="944"/>
      <c r="E1578" s="944"/>
      <c r="F1578" s="944"/>
      <c r="G1578" s="945"/>
      <c r="H1578" s="84"/>
      <c r="I1578" s="84"/>
      <c r="J1578" s="95"/>
    </row>
    <row r="1579" spans="1:13" ht="13" x14ac:dyDescent="0.3">
      <c r="A1579" s="91"/>
      <c r="B1579" s="943"/>
      <c r="C1579" s="944"/>
      <c r="D1579" s="944"/>
      <c r="E1579" s="944"/>
      <c r="F1579" s="944"/>
      <c r="G1579" s="945"/>
      <c r="H1579" s="84"/>
      <c r="I1579" s="84"/>
      <c r="J1579" s="95"/>
    </row>
    <row r="1580" spans="1:13" ht="13" x14ac:dyDescent="0.3">
      <c r="A1580" s="91"/>
      <c r="B1580" s="104" t="s">
        <v>424</v>
      </c>
      <c r="C1580" s="74"/>
      <c r="D1580" s="74"/>
      <c r="E1580" s="74"/>
      <c r="F1580" s="74"/>
      <c r="G1580" s="74"/>
      <c r="H1580" s="84"/>
      <c r="I1580" s="84"/>
      <c r="J1580" s="95"/>
    </row>
    <row r="1581" spans="1:13" ht="13" x14ac:dyDescent="0.3">
      <c r="A1581" s="91"/>
      <c r="B1581" s="104"/>
      <c r="C1581" s="74"/>
      <c r="D1581" s="74"/>
      <c r="E1581" s="74"/>
      <c r="F1581" s="74"/>
      <c r="G1581" s="74"/>
      <c r="H1581" s="103" t="s">
        <v>451</v>
      </c>
      <c r="I1581" s="103" t="str">
        <f>+'Unit tariffs'!$F$11</f>
        <v>2026/2027</v>
      </c>
      <c r="J1581" s="95"/>
    </row>
    <row r="1582" spans="1:13" ht="13" x14ac:dyDescent="0.3">
      <c r="A1582" s="91"/>
      <c r="C1582" s="74" t="s">
        <v>414</v>
      </c>
      <c r="D1582">
        <v>13.8</v>
      </c>
      <c r="E1582" s="74" t="s">
        <v>415</v>
      </c>
      <c r="F1582" s="74"/>
      <c r="G1582" s="74"/>
      <c r="H1582" s="74"/>
      <c r="I1582" s="74"/>
      <c r="J1582" s="95"/>
    </row>
    <row r="1583" spans="1:13" ht="13" x14ac:dyDescent="0.3">
      <c r="A1583" s="91"/>
      <c r="B1583" s="74"/>
      <c r="C1583" s="74" t="s">
        <v>423</v>
      </c>
      <c r="D1583" s="1">
        <v>3</v>
      </c>
      <c r="E1583" s="74" t="s">
        <v>415</v>
      </c>
      <c r="F1583" s="74" t="s">
        <v>416</v>
      </c>
      <c r="G1583" s="74"/>
      <c r="H1583" s="84"/>
      <c r="I1583" s="84"/>
      <c r="J1583" s="95"/>
    </row>
    <row r="1584" spans="1:13" ht="13" x14ac:dyDescent="0.3">
      <c r="A1584" s="91"/>
      <c r="B1584" s="74"/>
      <c r="C1584" s="74" t="s">
        <v>115</v>
      </c>
      <c r="D1584" s="590">
        <f>+F1584</f>
        <v>0</v>
      </c>
      <c r="E1584" s="74" t="s">
        <v>417</v>
      </c>
      <c r="F1584" s="74">
        <v>0</v>
      </c>
      <c r="G1584" s="74"/>
      <c r="H1584" s="84"/>
      <c r="I1584" s="84"/>
      <c r="J1584" s="95"/>
    </row>
    <row r="1585" spans="1:10" ht="13" x14ac:dyDescent="0.3">
      <c r="A1585" s="91"/>
      <c r="B1585" s="74"/>
      <c r="C1585" s="74" t="s">
        <v>418</v>
      </c>
      <c r="D1585" s="594">
        <f>(F1585*D1583)</f>
        <v>0</v>
      </c>
      <c r="E1585" s="74" t="s">
        <v>417</v>
      </c>
      <c r="F1585" s="74">
        <v>0</v>
      </c>
      <c r="G1585" s="74" t="s">
        <v>419</v>
      </c>
      <c r="H1585" s="84"/>
      <c r="I1585" s="84"/>
      <c r="J1585" s="95"/>
    </row>
    <row r="1586" spans="1:10" ht="13" x14ac:dyDescent="0.3">
      <c r="A1586" s="91"/>
      <c r="B1586" s="74"/>
      <c r="C1586" s="74" t="s">
        <v>420</v>
      </c>
      <c r="D1586" s="190">
        <f>(D1583*31*24*0.33*F1586)</f>
        <v>1230.0583739843521</v>
      </c>
      <c r="E1586" s="74" t="s">
        <v>417</v>
      </c>
      <c r="F1586" s="636">
        <f>+'Unit tariffs'!F163</f>
        <v>1.6700043092000001</v>
      </c>
      <c r="G1586" s="74" t="s">
        <v>421</v>
      </c>
      <c r="H1586" s="84"/>
      <c r="I1586" s="84"/>
      <c r="J1586" s="95"/>
    </row>
    <row r="1587" spans="1:10" ht="13" x14ac:dyDescent="0.3">
      <c r="A1587" s="91"/>
      <c r="B1587" s="74"/>
      <c r="C1587" s="74" t="s">
        <v>422</v>
      </c>
      <c r="D1587" s="595">
        <f>D1586+D1585+D1584</f>
        <v>1230.0583739843521</v>
      </c>
      <c r="E1587" s="74"/>
      <c r="F1587" s="74"/>
      <c r="G1587" s="74"/>
      <c r="H1587" s="84"/>
      <c r="I1587" s="84"/>
      <c r="J1587" s="95"/>
    </row>
    <row r="1588" spans="1:10" ht="13" x14ac:dyDescent="0.3">
      <c r="A1588" s="91"/>
      <c r="B1588" s="74"/>
      <c r="C1588" s="74"/>
      <c r="D1588" s="596"/>
      <c r="E1588" s="74"/>
      <c r="F1588" s="74"/>
      <c r="G1588" s="74"/>
      <c r="H1588" s="84"/>
      <c r="I1588" s="84"/>
      <c r="J1588" s="95"/>
    </row>
    <row r="1589" spans="1:10" ht="13" x14ac:dyDescent="0.3">
      <c r="A1589" s="91"/>
      <c r="B1589" s="104" t="s">
        <v>425</v>
      </c>
      <c r="D1589" s="104">
        <v>5</v>
      </c>
      <c r="E1589" s="74"/>
      <c r="F1589" s="74"/>
      <c r="G1589" s="74"/>
      <c r="H1589" s="587">
        <v>6150.2918699217607</v>
      </c>
      <c r="I1589" s="587">
        <f>+D1587*D1589</f>
        <v>6150.2918699217607</v>
      </c>
      <c r="J1589" s="95"/>
    </row>
    <row r="1590" spans="1:10" ht="13" x14ac:dyDescent="0.3">
      <c r="A1590" s="91"/>
      <c r="B1590" s="74"/>
      <c r="C1590" s="74"/>
      <c r="D1590" s="74"/>
      <c r="E1590" s="74"/>
      <c r="F1590" s="74"/>
      <c r="G1590" s="74"/>
      <c r="H1590" s="597"/>
      <c r="I1590" s="597"/>
      <c r="J1590" s="95"/>
    </row>
    <row r="1591" spans="1:10" ht="13" x14ac:dyDescent="0.3">
      <c r="A1591" s="91"/>
      <c r="B1591" s="74"/>
      <c r="C1591" s="74"/>
      <c r="D1591" s="74"/>
      <c r="E1591" s="74"/>
      <c r="F1591" s="128"/>
      <c r="G1591" s="74"/>
      <c r="H1591" s="587">
        <v>6200</v>
      </c>
      <c r="I1591" s="587">
        <f>+ROUND(I1589,-2)</f>
        <v>6200</v>
      </c>
      <c r="J1591" s="95"/>
    </row>
    <row r="1592" spans="1:10" ht="13" x14ac:dyDescent="0.3">
      <c r="A1592" s="91"/>
      <c r="B1592" s="74"/>
      <c r="C1592" s="74"/>
      <c r="D1592" s="74"/>
      <c r="E1592" s="74"/>
      <c r="F1592" s="128"/>
      <c r="G1592" s="74"/>
      <c r="H1592" s="587"/>
      <c r="I1592" s="587"/>
      <c r="J1592" s="95"/>
    </row>
    <row r="1593" spans="1:10" ht="13" x14ac:dyDescent="0.3">
      <c r="A1593" s="91"/>
      <c r="B1593" s="74"/>
      <c r="C1593" s="74"/>
      <c r="D1593" s="74"/>
      <c r="E1593" s="74"/>
      <c r="F1593" s="128"/>
      <c r="G1593" s="74"/>
      <c r="H1593" s="588">
        <v>0</v>
      </c>
      <c r="I1593" s="588">
        <f>+(I1591-H1591)/H1591</f>
        <v>0</v>
      </c>
      <c r="J1593" s="95"/>
    </row>
    <row r="1594" spans="1:10" ht="13" x14ac:dyDescent="0.3">
      <c r="A1594" s="91"/>
      <c r="B1594" s="74"/>
      <c r="C1594" s="74"/>
      <c r="D1594" s="74"/>
      <c r="E1594" s="74"/>
      <c r="F1594" s="74"/>
      <c r="G1594" s="74"/>
      <c r="H1594" s="588"/>
      <c r="I1594" s="588"/>
      <c r="J1594" s="95"/>
    </row>
    <row r="1595" spans="1:10" ht="27.75" customHeight="1" x14ac:dyDescent="0.3">
      <c r="A1595" s="91"/>
      <c r="B1595" s="943" t="s">
        <v>481</v>
      </c>
      <c r="C1595" s="944"/>
      <c r="D1595" s="944"/>
      <c r="E1595" s="944"/>
      <c r="F1595" s="944"/>
      <c r="G1595" s="945"/>
      <c r="H1595" s="588"/>
      <c r="I1595" s="588"/>
      <c r="J1595" s="95"/>
    </row>
    <row r="1596" spans="1:10" ht="13" x14ac:dyDescent="0.3">
      <c r="A1596" s="91"/>
      <c r="B1596" s="104" t="s">
        <v>424</v>
      </c>
      <c r="C1596" s="74"/>
      <c r="D1596" s="74"/>
      <c r="E1596" s="74"/>
      <c r="F1596" s="74"/>
      <c r="G1596" s="74"/>
      <c r="H1596" s="84"/>
      <c r="I1596" s="84"/>
      <c r="J1596" s="95"/>
    </row>
    <row r="1597" spans="1:10" ht="13" x14ac:dyDescent="0.3">
      <c r="A1597" s="91"/>
      <c r="B1597" s="104"/>
      <c r="C1597" s="74"/>
      <c r="D1597" s="74"/>
      <c r="E1597" s="74"/>
      <c r="F1597" s="74"/>
      <c r="G1597" s="74"/>
      <c r="H1597" s="103" t="s">
        <v>451</v>
      </c>
      <c r="I1597" s="103" t="str">
        <f>+'Unit tariffs'!$F$11</f>
        <v>2026/2027</v>
      </c>
      <c r="J1597" s="95"/>
    </row>
    <row r="1598" spans="1:10" ht="13" x14ac:dyDescent="0.3">
      <c r="A1598" s="91"/>
      <c r="C1598" s="74" t="s">
        <v>414</v>
      </c>
      <c r="D1598">
        <v>13.8</v>
      </c>
      <c r="E1598" s="74" t="s">
        <v>415</v>
      </c>
      <c r="F1598" s="74"/>
      <c r="G1598" s="74"/>
      <c r="H1598" s="74"/>
      <c r="I1598" s="74"/>
      <c r="J1598" s="95"/>
    </row>
    <row r="1599" spans="1:10" ht="13" x14ac:dyDescent="0.3">
      <c r="A1599" s="91"/>
      <c r="B1599" s="74"/>
      <c r="C1599" s="74" t="s">
        <v>423</v>
      </c>
      <c r="D1599" s="1">
        <v>4.5</v>
      </c>
      <c r="E1599" s="74" t="s">
        <v>415</v>
      </c>
      <c r="F1599" s="74" t="s">
        <v>416</v>
      </c>
      <c r="G1599" s="74"/>
      <c r="H1599" s="84"/>
      <c r="I1599" s="84"/>
      <c r="J1599" s="95"/>
    </row>
    <row r="1600" spans="1:10" ht="13" x14ac:dyDescent="0.3">
      <c r="A1600" s="91"/>
      <c r="B1600" s="74"/>
      <c r="C1600" s="74" t="s">
        <v>115</v>
      </c>
      <c r="D1600" s="590">
        <f>+F1600</f>
        <v>0</v>
      </c>
      <c r="E1600" s="74" t="s">
        <v>417</v>
      </c>
      <c r="F1600" s="74">
        <v>0</v>
      </c>
      <c r="G1600" s="74"/>
      <c r="H1600" s="84"/>
      <c r="I1600" s="84"/>
      <c r="J1600" s="95"/>
    </row>
    <row r="1601" spans="1:10" ht="13" x14ac:dyDescent="0.3">
      <c r="A1601" s="91"/>
      <c r="B1601" s="74"/>
      <c r="C1601" s="74" t="s">
        <v>418</v>
      </c>
      <c r="D1601" s="594">
        <f>(F1601*D1599)</f>
        <v>0</v>
      </c>
      <c r="E1601" s="74" t="s">
        <v>417</v>
      </c>
      <c r="F1601" s="74">
        <v>0</v>
      </c>
      <c r="G1601" s="74" t="s">
        <v>419</v>
      </c>
      <c r="H1601" s="84"/>
      <c r="I1601" s="84"/>
      <c r="J1601" s="95"/>
    </row>
    <row r="1602" spans="1:10" ht="13" x14ac:dyDescent="0.3">
      <c r="A1602" s="91"/>
      <c r="B1602" s="74"/>
      <c r="C1602" s="74" t="s">
        <v>420</v>
      </c>
      <c r="D1602" s="190">
        <f>(D1599*31*24*0.33*F1602)</f>
        <v>1845.0875609765283</v>
      </c>
      <c r="E1602" s="74" t="s">
        <v>417</v>
      </c>
      <c r="F1602" s="186">
        <f>+'Unit tariffs'!$F$163</f>
        <v>1.6700043092000001</v>
      </c>
      <c r="G1602" s="74" t="s">
        <v>421</v>
      </c>
      <c r="H1602" s="84"/>
      <c r="I1602" s="84"/>
      <c r="J1602" s="95"/>
    </row>
    <row r="1603" spans="1:10" ht="13" x14ac:dyDescent="0.3">
      <c r="A1603" s="91"/>
      <c r="B1603" s="74"/>
      <c r="C1603" s="74" t="s">
        <v>422</v>
      </c>
      <c r="D1603" s="595">
        <f>D1602+D1601+D1600</f>
        <v>1845.0875609765283</v>
      </c>
      <c r="E1603" s="74"/>
      <c r="F1603" s="74"/>
      <c r="G1603" s="74"/>
      <c r="H1603" s="84"/>
      <c r="I1603" s="84"/>
      <c r="J1603" s="95"/>
    </row>
    <row r="1604" spans="1:10" ht="17.399999999999999" customHeight="1" x14ac:dyDescent="0.3">
      <c r="A1604" s="91"/>
      <c r="B1604" s="74"/>
      <c r="C1604" s="74"/>
      <c r="D1604" s="74"/>
      <c r="E1604" s="74"/>
      <c r="F1604" s="74"/>
      <c r="G1604" s="74"/>
      <c r="H1604" s="588"/>
      <c r="I1604" s="588"/>
      <c r="J1604" s="95"/>
    </row>
    <row r="1605" spans="1:10" ht="17.399999999999999" customHeight="1" x14ac:dyDescent="0.3">
      <c r="A1605" s="91"/>
      <c r="B1605" s="104" t="s">
        <v>425</v>
      </c>
      <c r="D1605" s="104">
        <v>5</v>
      </c>
      <c r="E1605" s="74"/>
      <c r="F1605" s="74"/>
      <c r="G1605" s="74"/>
      <c r="H1605" s="587">
        <v>9225.437804882642</v>
      </c>
      <c r="I1605" s="587">
        <f>+D1603*D1605</f>
        <v>9225.437804882642</v>
      </c>
      <c r="J1605" s="95"/>
    </row>
    <row r="1606" spans="1:10" ht="17.399999999999999" customHeight="1" x14ac:dyDescent="0.3">
      <c r="A1606" s="91"/>
      <c r="B1606" s="74"/>
      <c r="C1606" s="74"/>
      <c r="D1606" s="74"/>
      <c r="E1606" s="74"/>
      <c r="F1606" s="74"/>
      <c r="G1606" s="74"/>
      <c r="H1606" s="587"/>
      <c r="I1606" s="587"/>
      <c r="J1606" s="95"/>
    </row>
    <row r="1607" spans="1:10" ht="17.399999999999999" customHeight="1" x14ac:dyDescent="0.3">
      <c r="A1607" s="91"/>
      <c r="B1607" s="74"/>
      <c r="C1607" s="74"/>
      <c r="D1607" s="74"/>
      <c r="E1607" s="74"/>
      <c r="F1607" s="74"/>
      <c r="G1607" s="74"/>
      <c r="H1607" s="587">
        <v>9200</v>
      </c>
      <c r="I1607" s="587">
        <f>+ROUND(I1605,-2)</f>
        <v>9200</v>
      </c>
      <c r="J1607" s="95"/>
    </row>
    <row r="1608" spans="1:10" ht="17.399999999999999" customHeight="1" x14ac:dyDescent="0.3">
      <c r="A1608" s="91"/>
      <c r="B1608" s="74"/>
      <c r="C1608" s="74"/>
      <c r="D1608" s="74"/>
      <c r="E1608" s="74"/>
      <c r="F1608" s="74"/>
      <c r="G1608" s="74"/>
      <c r="H1608" s="587"/>
      <c r="I1608" s="587"/>
      <c r="J1608" s="95"/>
    </row>
    <row r="1609" spans="1:10" ht="17.399999999999999" customHeight="1" x14ac:dyDescent="0.3">
      <c r="A1609" s="91"/>
      <c r="B1609" s="74"/>
      <c r="C1609" s="74"/>
      <c r="D1609" s="74"/>
      <c r="E1609" s="74"/>
      <c r="F1609" s="74"/>
      <c r="G1609" s="74"/>
      <c r="H1609" s="598">
        <v>0</v>
      </c>
      <c r="I1609" s="598">
        <f>+(I1607-H1607)/H1607</f>
        <v>0</v>
      </c>
      <c r="J1609" s="95"/>
    </row>
    <row r="1610" spans="1:10" ht="13.5" thickBot="1" x14ac:dyDescent="0.35">
      <c r="A1610" s="448"/>
      <c r="B1610" s="123"/>
      <c r="C1610" s="123"/>
      <c r="D1610" s="123"/>
      <c r="E1610" s="123"/>
      <c r="F1610" s="123"/>
      <c r="G1610" s="123"/>
      <c r="H1610" s="123"/>
      <c r="I1610" s="123"/>
      <c r="J1610" s="95"/>
    </row>
    <row r="1611" spans="1:10" ht="13.5" thickTop="1" x14ac:dyDescent="0.3">
      <c r="A1611" s="91"/>
      <c r="B1611" s="74"/>
      <c r="C1611" s="74"/>
      <c r="D1611" s="74"/>
      <c r="E1611" s="74"/>
      <c r="F1611" s="74"/>
      <c r="G1611" s="74"/>
      <c r="H1611" s="74"/>
      <c r="I1611" s="74"/>
      <c r="J1611" s="95"/>
    </row>
    <row r="1612" spans="1:10" ht="13.5" thickBot="1" x14ac:dyDescent="0.35">
      <c r="A1612" s="91"/>
      <c r="B1612" s="74"/>
      <c r="C1612" s="74"/>
      <c r="D1612" s="74"/>
      <c r="E1612" s="74"/>
      <c r="F1612" s="74"/>
      <c r="G1612" s="74"/>
      <c r="H1612" s="74"/>
      <c r="I1612" s="74"/>
      <c r="J1612" s="95"/>
    </row>
    <row r="1613" spans="1:10" ht="13.5" thickTop="1" x14ac:dyDescent="0.3">
      <c r="A1613" s="445"/>
      <c r="B1613" s="120" t="s">
        <v>1</v>
      </c>
      <c r="C1613" s="120"/>
      <c r="D1613" s="120"/>
      <c r="E1613" s="120"/>
      <c r="F1613" s="120"/>
      <c r="G1613" s="120"/>
      <c r="H1613" s="120"/>
      <c r="I1613" s="120"/>
      <c r="J1613" s="444"/>
    </row>
    <row r="1614" spans="1:10" ht="35.4" customHeight="1" x14ac:dyDescent="0.3">
      <c r="A1614" s="91"/>
      <c r="B1614" s="934" t="s">
        <v>482</v>
      </c>
      <c r="C1614" s="935"/>
      <c r="D1614" s="935"/>
      <c r="E1614" s="935"/>
      <c r="F1614" s="935"/>
      <c r="G1614" s="936"/>
      <c r="H1614" s="74"/>
      <c r="I1614" s="74"/>
      <c r="J1614" s="95"/>
    </row>
    <row r="1615" spans="1:10" ht="13" x14ac:dyDescent="0.3">
      <c r="A1615" s="91"/>
      <c r="B1615" s="104"/>
      <c r="C1615" s="74"/>
      <c r="D1615" s="74"/>
      <c r="E1615" s="74"/>
      <c r="F1615" s="74"/>
      <c r="G1615" s="74"/>
      <c r="H1615" s="74"/>
      <c r="I1615" s="74"/>
      <c r="J1615" s="95"/>
    </row>
    <row r="1616" spans="1:10" ht="13" x14ac:dyDescent="0.3">
      <c r="A1616" s="91"/>
      <c r="B1616" s="74"/>
      <c r="C1616" s="74"/>
      <c r="D1616" s="74"/>
      <c r="E1616" s="74"/>
      <c r="F1616" s="74"/>
      <c r="G1616" s="74"/>
      <c r="H1616" s="103" t="s">
        <v>451</v>
      </c>
      <c r="I1616" s="103" t="str">
        <f>+'Unit tariffs'!$F$11</f>
        <v>2026/2027</v>
      </c>
      <c r="J1616" s="447"/>
    </row>
    <row r="1617" spans="1:10" ht="13" x14ac:dyDescent="0.3">
      <c r="A1617" s="91"/>
      <c r="B1617" s="104" t="s">
        <v>41</v>
      </c>
      <c r="C1617" s="74"/>
      <c r="D1617" s="74"/>
      <c r="E1617" s="74"/>
      <c r="F1617" s="74"/>
      <c r="G1617" s="74"/>
      <c r="H1617" s="74"/>
      <c r="I1617" s="74"/>
      <c r="J1617" s="447"/>
    </row>
    <row r="1618" spans="1:10" ht="13" x14ac:dyDescent="0.3">
      <c r="A1618" s="91"/>
      <c r="B1618" s="74"/>
      <c r="C1618" s="74"/>
      <c r="D1618" s="74"/>
      <c r="E1618" s="74"/>
      <c r="F1618" s="74"/>
      <c r="G1618" s="74"/>
      <c r="H1618" s="74"/>
      <c r="I1618" s="74"/>
      <c r="J1618" s="447"/>
    </row>
    <row r="1619" spans="1:10" ht="13" x14ac:dyDescent="0.3">
      <c r="A1619" s="91"/>
      <c r="B1619" s="74"/>
      <c r="C1619" s="74"/>
      <c r="D1619" s="74"/>
      <c r="E1619" s="74"/>
      <c r="F1619" s="74"/>
      <c r="G1619" s="74"/>
      <c r="H1619" s="76"/>
      <c r="I1619" s="76"/>
      <c r="J1619" s="444" t="s">
        <v>313</v>
      </c>
    </row>
    <row r="1620" spans="1:10" ht="13" x14ac:dyDescent="0.3">
      <c r="A1620" s="91"/>
      <c r="B1620" s="74">
        <v>1</v>
      </c>
      <c r="C1620" t="s">
        <v>312</v>
      </c>
      <c r="D1620" s="74"/>
      <c r="E1620" s="74"/>
      <c r="F1620" s="74"/>
      <c r="G1620" s="74"/>
      <c r="H1620" s="76">
        <v>5538.1406043608804</v>
      </c>
      <c r="I1620" s="76">
        <f>VLOOKUP($C1620,'Unit tariffs'!$B$21:$F$123,5,FALSE)*$B1620</f>
        <v>0</v>
      </c>
      <c r="J1620" s="447" t="e">
        <f>IF(+I1620*'Unit tariffs'!#REF!&gt;'Unit tariffs'!#REF!,'Unit tariffs'!#REF!,+I1620*'Unit tariffs'!#REF!)</f>
        <v>#REF!</v>
      </c>
    </row>
    <row r="1621" spans="1:10" ht="13" x14ac:dyDescent="0.3">
      <c r="A1621" s="91"/>
      <c r="B1621" s="74">
        <v>2</v>
      </c>
      <c r="C1621" s="74" t="str">
        <f>'Unit tariffs'!B21</f>
        <v>Installation material</v>
      </c>
      <c r="D1621" s="74"/>
      <c r="E1621" s="74"/>
      <c r="F1621" s="74"/>
      <c r="G1621" s="74"/>
      <c r="H1621" s="81">
        <v>542.88200000000006</v>
      </c>
      <c r="I1621" s="81">
        <f>VLOOKUP($C1621,'Unit tariffs'!$B$21:$F$123,5,FALSE)*$B1621</f>
        <v>564.9665</v>
      </c>
      <c r="J1621" s="447" t="e">
        <f>IF(+I1621*'Unit tariffs'!#REF!&gt;'Unit tariffs'!#REF!,'Unit tariffs'!#REF!,+I1621*'Unit tariffs'!#REF!)</f>
        <v>#REF!</v>
      </c>
    </row>
    <row r="1622" spans="1:10" ht="13" x14ac:dyDescent="0.3">
      <c r="A1622" s="91"/>
      <c r="B1622" s="74"/>
      <c r="C1622" s="74"/>
      <c r="D1622" s="74"/>
      <c r="E1622" s="74"/>
      <c r="F1622" s="74"/>
      <c r="G1622" s="76"/>
      <c r="H1622" s="76">
        <v>6081.02260436088</v>
      </c>
      <c r="I1622" s="76">
        <f>SUM(I1620:I1621)</f>
        <v>564.9665</v>
      </c>
      <c r="J1622" s="105"/>
    </row>
    <row r="1623" spans="1:10" ht="13" x14ac:dyDescent="0.3">
      <c r="A1623" s="91"/>
      <c r="B1623" s="104" t="s">
        <v>42</v>
      </c>
      <c r="C1623" s="74"/>
      <c r="D1623" s="74"/>
      <c r="E1623" s="74"/>
      <c r="F1623" s="74"/>
      <c r="G1623" s="74"/>
      <c r="H1623" s="74"/>
      <c r="I1623" s="74"/>
      <c r="J1623" s="105"/>
    </row>
    <row r="1624" spans="1:10" ht="13" x14ac:dyDescent="0.3">
      <c r="A1624" s="91"/>
      <c r="B1624" s="74"/>
      <c r="C1624" s="74"/>
      <c r="D1624" s="74"/>
      <c r="E1624" s="74"/>
      <c r="F1624" s="74"/>
      <c r="G1624" s="74"/>
      <c r="H1624" s="74"/>
      <c r="I1624" s="74"/>
      <c r="J1624" s="105"/>
    </row>
    <row r="1625" spans="1:10" ht="13" x14ac:dyDescent="0.3">
      <c r="A1625" s="91"/>
      <c r="B1625" s="74">
        <v>6</v>
      </c>
      <c r="C1625" s="74" t="str">
        <f>'Unit tariffs'!B$87</f>
        <v xml:space="preserve">hour-artisan </v>
      </c>
      <c r="D1625" s="74"/>
      <c r="E1625" s="74"/>
      <c r="F1625" s="74"/>
      <c r="G1625" s="74"/>
      <c r="H1625" s="76">
        <v>1937.1133903846153</v>
      </c>
      <c r="I1625" s="76">
        <f>VLOOKUP($C1625,'Unit tariffs'!$B$21:$F$123,5,FALSE)*$B1625</f>
        <v>2107.1565969230774</v>
      </c>
      <c r="J1625" s="95"/>
    </row>
    <row r="1626" spans="1:10" ht="13" x14ac:dyDescent="0.3">
      <c r="A1626" s="91"/>
      <c r="B1626" s="74">
        <v>5</v>
      </c>
      <c r="C1626" s="74" t="str">
        <f>'Unit tariffs'!B$85</f>
        <v>hour-artisan assistant</v>
      </c>
      <c r="D1626" s="74"/>
      <c r="E1626" s="74"/>
      <c r="F1626" s="74"/>
      <c r="G1626" s="74"/>
      <c r="H1626" s="81">
        <v>642.67903846153854</v>
      </c>
      <c r="I1626" s="81">
        <f>VLOOKUP($C1626,'Unit tariffs'!$B$21:$F$123,5,FALSE)*$B1626</f>
        <v>699.12129230769233</v>
      </c>
      <c r="J1626" s="95"/>
    </row>
    <row r="1627" spans="1:10" ht="13" x14ac:dyDescent="0.3">
      <c r="A1627" s="91"/>
      <c r="B1627" s="74"/>
      <c r="C1627" s="74"/>
      <c r="D1627" s="74"/>
      <c r="E1627" s="74"/>
      <c r="F1627" s="74"/>
      <c r="G1627" s="74"/>
      <c r="H1627" s="76">
        <v>2579.7924288461536</v>
      </c>
      <c r="I1627" s="76">
        <f>SUM(I1625:I1626)</f>
        <v>2806.2778892307697</v>
      </c>
      <c r="J1627" s="105"/>
    </row>
    <row r="1628" spans="1:10" ht="13" x14ac:dyDescent="0.3">
      <c r="A1628" s="91"/>
      <c r="B1628" s="104" t="s">
        <v>43</v>
      </c>
      <c r="C1628" s="74"/>
      <c r="D1628" s="74"/>
      <c r="E1628" s="74"/>
      <c r="F1628" s="74"/>
      <c r="G1628" s="74"/>
      <c r="H1628" s="74"/>
      <c r="I1628" s="74"/>
      <c r="J1628" s="105"/>
    </row>
    <row r="1629" spans="1:10" ht="13" x14ac:dyDescent="0.3">
      <c r="A1629" s="91"/>
      <c r="B1629" s="74"/>
      <c r="C1629" s="74"/>
      <c r="D1629" s="74"/>
      <c r="E1629" s="74"/>
      <c r="F1629" s="74"/>
      <c r="G1629" s="74"/>
      <c r="H1629" s="74"/>
      <c r="I1629" s="74"/>
      <c r="J1629" s="105"/>
    </row>
    <row r="1630" spans="1:10" ht="13" x14ac:dyDescent="0.3">
      <c r="A1630" s="91"/>
      <c r="B1630" s="74">
        <v>46</v>
      </c>
      <c r="C1630" s="74" t="str">
        <f>'Unit tariffs'!B$111</f>
        <v>km-truck with platform</v>
      </c>
      <c r="D1630" s="74"/>
      <c r="E1630" s="74"/>
      <c r="F1630" s="74"/>
      <c r="G1630" s="74"/>
      <c r="H1630" s="76">
        <v>1937.5431598849291</v>
      </c>
      <c r="I1630" s="76">
        <f>VLOOKUP($C1630,'Unit tariffs'!$B$21:$F$123,5,FALSE)*$B1630</f>
        <v>2267.0328001393855</v>
      </c>
      <c r="J1630" s="105"/>
    </row>
    <row r="1631" spans="1:10" ht="13" x14ac:dyDescent="0.3">
      <c r="A1631" s="91"/>
      <c r="B1631" s="74">
        <v>4</v>
      </c>
      <c r="C1631" s="74" t="str">
        <f>'Unit tariffs'!B$112</f>
        <v>hour-truck with platform</v>
      </c>
      <c r="D1631" s="74"/>
      <c r="E1631" s="74"/>
      <c r="F1631" s="74"/>
      <c r="G1631" s="74"/>
      <c r="H1631" s="76">
        <v>819.93766924669251</v>
      </c>
      <c r="I1631" s="76">
        <f>VLOOKUP($C1631,'Unit tariffs'!$B$21:$F$123,5,FALSE)*$B1631</f>
        <v>959.37248198511679</v>
      </c>
      <c r="J1631" s="105"/>
    </row>
    <row r="1632" spans="1:10" ht="13" x14ac:dyDescent="0.3">
      <c r="A1632" s="91"/>
      <c r="B1632" s="74"/>
      <c r="C1632" s="74"/>
      <c r="D1632" s="74"/>
      <c r="E1632" s="74"/>
      <c r="F1632" s="74"/>
      <c r="G1632" s="74"/>
      <c r="H1632" s="137">
        <v>2757.4808291316217</v>
      </c>
      <c r="I1632" s="137">
        <f>SUM(I1630:I1631)</f>
        <v>3226.4052821245023</v>
      </c>
      <c r="J1632" s="105"/>
    </row>
    <row r="1633" spans="1:10" ht="13.5" thickBot="1" x14ac:dyDescent="0.35">
      <c r="A1633" s="91"/>
      <c r="B1633" s="104"/>
      <c r="C1633" s="74"/>
      <c r="D1633" s="106"/>
      <c r="E1633" s="74"/>
      <c r="F1633" s="74"/>
      <c r="G1633" s="74"/>
      <c r="H1633" s="108"/>
      <c r="I1633" s="108"/>
      <c r="J1633" s="105"/>
    </row>
    <row r="1634" spans="1:10" ht="13.5" thickTop="1" x14ac:dyDescent="0.3">
      <c r="A1634" s="91"/>
      <c r="B1634" s="74"/>
      <c r="C1634" s="74"/>
      <c r="D1634" s="74"/>
      <c r="E1634" s="74"/>
      <c r="F1634" s="74"/>
      <c r="G1634" s="76"/>
      <c r="H1634" s="76">
        <v>11418.295862338655</v>
      </c>
      <c r="I1634" s="76">
        <f>I1632+I1627+I1622</f>
        <v>6597.6496713552715</v>
      </c>
      <c r="J1634" s="95"/>
    </row>
    <row r="1635" spans="1:10" ht="13.5" thickBot="1" x14ac:dyDescent="0.35">
      <c r="A1635" s="91"/>
      <c r="B1635" s="104" t="str">
        <f>'Unit tariffs'!$B$7</f>
        <v>Administration Levy (Indirect Cost)</v>
      </c>
      <c r="C1635" s="74"/>
      <c r="D1635" s="106">
        <f>'Unit tariffs'!$C$7</f>
        <v>0.1</v>
      </c>
      <c r="E1635" s="74" t="s">
        <v>311</v>
      </c>
      <c r="F1635" s="186">
        <f>+'Unit tariffs'!$F$7</f>
        <v>10000</v>
      </c>
      <c r="G1635" s="76"/>
      <c r="H1635" s="108">
        <v>1141.8295862338655</v>
      </c>
      <c r="I1635" s="108">
        <f>IF(I1634*$D1635&gt;='Unit tariffs'!$E$7,'Unit tariffs'!$E$7,I1634*$D1635)</f>
        <v>659.76496713552717</v>
      </c>
      <c r="J1635" s="110"/>
    </row>
    <row r="1636" spans="1:10" ht="13.5" thickTop="1" x14ac:dyDescent="0.3">
      <c r="A1636" s="91"/>
      <c r="B1636" s="104" t="s">
        <v>44</v>
      </c>
      <c r="C1636" s="74"/>
      <c r="D1636" s="74"/>
      <c r="E1636" s="74"/>
      <c r="F1636" s="74"/>
      <c r="G1636" s="76"/>
      <c r="H1636" s="109">
        <v>12560.12544857252</v>
      </c>
      <c r="I1636" s="109">
        <f>SUM(I1634:I1635)</f>
        <v>7257.414638490799</v>
      </c>
      <c r="J1636" s="105"/>
    </row>
    <row r="1637" spans="1:10" ht="13" x14ac:dyDescent="0.3">
      <c r="A1637" s="91"/>
      <c r="B1637" s="74"/>
      <c r="C1637" s="74"/>
      <c r="D1637" s="74"/>
      <c r="E1637" s="74"/>
      <c r="F1637" s="74"/>
      <c r="G1637" s="74"/>
      <c r="H1637" s="74"/>
      <c r="I1637" s="74"/>
      <c r="J1637" s="113"/>
    </row>
    <row r="1638" spans="1:10" ht="13.5" thickBot="1" x14ac:dyDescent="0.35">
      <c r="A1638" s="91"/>
      <c r="B1638" s="104" t="s">
        <v>45</v>
      </c>
      <c r="C1638" s="74"/>
      <c r="D1638" s="74"/>
      <c r="E1638" s="74"/>
      <c r="F1638" s="74"/>
      <c r="G1638" s="74"/>
      <c r="H1638" s="84">
        <v>12560</v>
      </c>
      <c r="I1638" s="84">
        <f>ROUND(I1636,-1)</f>
        <v>7260</v>
      </c>
      <c r="J1638" s="449"/>
    </row>
    <row r="1639" spans="1:10" ht="13.5" thickTop="1" x14ac:dyDescent="0.3">
      <c r="A1639" s="91"/>
      <c r="B1639" s="74"/>
      <c r="C1639" s="74"/>
      <c r="D1639" s="74"/>
      <c r="E1639" s="74"/>
      <c r="F1639" s="74"/>
      <c r="G1639" s="74"/>
      <c r="H1639" s="76"/>
      <c r="I1639" s="76"/>
      <c r="J1639" s="95"/>
    </row>
    <row r="1640" spans="1:10" ht="13" x14ac:dyDescent="0.3">
      <c r="A1640" s="91"/>
      <c r="B1640" s="74"/>
      <c r="C1640" s="74"/>
      <c r="D1640" s="74"/>
      <c r="E1640" s="74"/>
      <c r="F1640" s="74"/>
      <c r="G1640" s="74"/>
      <c r="H1640" s="112">
        <v>0</v>
      </c>
      <c r="I1640" s="112">
        <f>(I1638-H1638)/H1638</f>
        <v>-0.42197452229299365</v>
      </c>
      <c r="J1640" s="95"/>
    </row>
    <row r="1641" spans="1:10" ht="13" x14ac:dyDescent="0.3">
      <c r="A1641" s="91"/>
      <c r="B1641" s="74"/>
      <c r="C1641" s="74"/>
      <c r="D1641" s="74"/>
      <c r="E1641" s="74"/>
      <c r="F1641" s="74"/>
      <c r="G1641" s="74"/>
      <c r="H1641" s="112"/>
      <c r="I1641" s="112"/>
      <c r="J1641" s="95"/>
    </row>
    <row r="1642" spans="1:10" ht="13.25" customHeight="1" x14ac:dyDescent="0.3">
      <c r="A1642" s="91"/>
      <c r="B1642" s="943" t="s">
        <v>483</v>
      </c>
      <c r="C1642" s="944"/>
      <c r="D1642" s="944"/>
      <c r="E1642" s="944"/>
      <c r="F1642" s="944"/>
      <c r="G1642" s="945"/>
      <c r="H1642" s="84"/>
      <c r="I1642" s="84"/>
      <c r="J1642" s="95"/>
    </row>
    <row r="1643" spans="1:10" ht="13" x14ac:dyDescent="0.3">
      <c r="A1643" s="91"/>
      <c r="B1643" s="74"/>
      <c r="C1643" s="74"/>
      <c r="D1643" s="74"/>
      <c r="E1643" s="74"/>
      <c r="F1643" s="74"/>
      <c r="G1643" s="74"/>
      <c r="H1643" s="84"/>
      <c r="I1643" s="84"/>
      <c r="J1643" s="95"/>
    </row>
    <row r="1644" spans="1:10" ht="13" x14ac:dyDescent="0.3">
      <c r="A1644" s="91"/>
      <c r="B1644" s="104" t="s">
        <v>424</v>
      </c>
      <c r="C1644" s="74"/>
      <c r="D1644" s="74"/>
      <c r="E1644" s="74"/>
      <c r="F1644" s="74"/>
      <c r="G1644" s="74"/>
      <c r="H1644" s="84"/>
      <c r="I1644" s="84"/>
      <c r="J1644" s="95"/>
    </row>
    <row r="1645" spans="1:10" ht="13" x14ac:dyDescent="0.3">
      <c r="A1645" s="91"/>
      <c r="B1645" s="104"/>
      <c r="C1645" s="74"/>
      <c r="D1645" s="74"/>
      <c r="E1645" s="74"/>
      <c r="F1645" s="74"/>
      <c r="G1645" s="74"/>
      <c r="H1645" s="103" t="s">
        <v>451</v>
      </c>
      <c r="I1645" s="103" t="str">
        <f>+'Unit tariffs'!$F$11</f>
        <v>2026/2027</v>
      </c>
      <c r="J1645" s="95"/>
    </row>
    <row r="1646" spans="1:10" ht="13" x14ac:dyDescent="0.3">
      <c r="A1646" s="91"/>
      <c r="C1646" s="74" t="s">
        <v>414</v>
      </c>
      <c r="D1646">
        <v>41.58</v>
      </c>
      <c r="E1646" s="74" t="s">
        <v>415</v>
      </c>
      <c r="F1646" s="74"/>
      <c r="G1646" s="74"/>
      <c r="H1646" s="74"/>
      <c r="I1646" s="74"/>
      <c r="J1646" s="95"/>
    </row>
    <row r="1647" spans="1:10" ht="13" x14ac:dyDescent="0.3">
      <c r="A1647" s="91"/>
      <c r="B1647" s="74"/>
      <c r="C1647" s="74" t="s">
        <v>423</v>
      </c>
      <c r="D1647" s="1">
        <v>7.5</v>
      </c>
      <c r="E1647" s="74" t="s">
        <v>415</v>
      </c>
      <c r="F1647" s="74" t="s">
        <v>416</v>
      </c>
      <c r="G1647" s="74"/>
      <c r="H1647" s="84"/>
      <c r="I1647" s="84"/>
      <c r="J1647" s="95"/>
    </row>
    <row r="1648" spans="1:10" ht="13" x14ac:dyDescent="0.3">
      <c r="A1648" s="91"/>
      <c r="B1648" s="74"/>
      <c r="C1648" s="74" t="s">
        <v>115</v>
      </c>
      <c r="D1648" s="590">
        <f>+F1648</f>
        <v>0</v>
      </c>
      <c r="E1648" s="74" t="s">
        <v>417</v>
      </c>
      <c r="F1648" s="74">
        <v>0</v>
      </c>
      <c r="G1648" s="74"/>
      <c r="H1648" s="84"/>
      <c r="I1648" s="84"/>
      <c r="J1648" s="95"/>
    </row>
    <row r="1649" spans="1:11" ht="13" x14ac:dyDescent="0.3">
      <c r="A1649" s="91"/>
      <c r="B1649" s="74"/>
      <c r="C1649" s="74" t="s">
        <v>418</v>
      </c>
      <c r="D1649" s="594">
        <f>(F1649*D1647)</f>
        <v>0</v>
      </c>
      <c r="E1649" s="74" t="s">
        <v>417</v>
      </c>
      <c r="F1649" s="74">
        <v>0</v>
      </c>
      <c r="G1649" s="74" t="s">
        <v>419</v>
      </c>
      <c r="H1649" s="84"/>
      <c r="I1649" s="84"/>
      <c r="J1649" s="95"/>
    </row>
    <row r="1650" spans="1:11" ht="13" x14ac:dyDescent="0.3">
      <c r="A1650" s="91"/>
      <c r="B1650" s="74"/>
      <c r="C1650" s="74" t="s">
        <v>420</v>
      </c>
      <c r="D1650" s="190">
        <f>(D1647*31*24*0.33*F1650)</f>
        <v>3075.1459349608804</v>
      </c>
      <c r="E1650" s="74" t="s">
        <v>417</v>
      </c>
      <c r="F1650" s="186">
        <f>+'Unit tariffs'!$F$163</f>
        <v>1.6700043092000001</v>
      </c>
      <c r="G1650" s="74" t="s">
        <v>421</v>
      </c>
      <c r="H1650" s="84"/>
      <c r="I1650" s="84"/>
      <c r="J1650" s="95"/>
    </row>
    <row r="1651" spans="1:11" ht="13" x14ac:dyDescent="0.3">
      <c r="A1651" s="91"/>
      <c r="B1651" s="74"/>
      <c r="C1651" s="74" t="s">
        <v>422</v>
      </c>
      <c r="D1651" s="595">
        <f>D1650+D1649+D1648</f>
        <v>3075.1459349608804</v>
      </c>
      <c r="E1651" s="74"/>
      <c r="F1651" s="74"/>
      <c r="G1651" s="74"/>
      <c r="H1651" s="84"/>
      <c r="I1651" s="84"/>
      <c r="J1651" s="95"/>
    </row>
    <row r="1652" spans="1:11" ht="13" x14ac:dyDescent="0.3">
      <c r="A1652" s="91"/>
      <c r="B1652" s="74"/>
      <c r="C1652" s="74"/>
      <c r="D1652" s="596"/>
      <c r="E1652" s="74"/>
      <c r="F1652" s="74"/>
      <c r="G1652" s="74"/>
      <c r="H1652" s="84"/>
      <c r="I1652" s="84"/>
      <c r="J1652" s="95"/>
    </row>
    <row r="1653" spans="1:11" ht="13" x14ac:dyDescent="0.3">
      <c r="A1653" s="91"/>
      <c r="B1653" s="104" t="s">
        <v>425</v>
      </c>
      <c r="D1653" s="104">
        <v>5</v>
      </c>
      <c r="E1653" s="74"/>
      <c r="F1653" s="74"/>
      <c r="G1653" s="74"/>
      <c r="H1653" s="587">
        <v>15375.729674804403</v>
      </c>
      <c r="I1653" s="587">
        <f>+D1651*D1653</f>
        <v>15375.729674804403</v>
      </c>
      <c r="J1653" s="95"/>
    </row>
    <row r="1654" spans="1:11" ht="13" x14ac:dyDescent="0.3">
      <c r="A1654" s="91"/>
      <c r="B1654" s="74"/>
      <c r="C1654" s="74"/>
      <c r="D1654" s="74"/>
      <c r="E1654" s="74"/>
      <c r="F1654" s="74"/>
      <c r="G1654" s="74"/>
      <c r="H1654" s="597"/>
      <c r="I1654" s="597"/>
      <c r="J1654" s="95"/>
    </row>
    <row r="1655" spans="1:11" ht="13" x14ac:dyDescent="0.3">
      <c r="A1655" s="91"/>
      <c r="B1655" s="74"/>
      <c r="C1655" s="74"/>
      <c r="D1655" s="74"/>
      <c r="E1655" s="74"/>
      <c r="F1655" s="128"/>
      <c r="G1655" s="74"/>
      <c r="H1655" s="587">
        <v>15400</v>
      </c>
      <c r="I1655" s="587">
        <f>+ROUND(I1653,-2)</f>
        <v>15400</v>
      </c>
      <c r="J1655" s="95"/>
      <c r="K1655" s="599"/>
    </row>
    <row r="1656" spans="1:11" ht="13" x14ac:dyDescent="0.3">
      <c r="A1656" s="91"/>
      <c r="B1656" s="74"/>
      <c r="C1656" s="74"/>
      <c r="D1656" s="74"/>
      <c r="E1656" s="74"/>
      <c r="F1656" s="128"/>
      <c r="G1656" s="74"/>
      <c r="H1656" s="587"/>
      <c r="I1656" s="587"/>
      <c r="J1656" s="95"/>
    </row>
    <row r="1657" spans="1:11" ht="13" x14ac:dyDescent="0.3">
      <c r="A1657" s="91"/>
      <c r="B1657" s="74"/>
      <c r="C1657" s="74"/>
      <c r="D1657" s="74"/>
      <c r="E1657" s="74"/>
      <c r="F1657" s="128"/>
      <c r="G1657" s="74"/>
      <c r="H1657" s="598">
        <v>0</v>
      </c>
      <c r="I1657" s="598">
        <f>+(I1655-H1655)/H1655</f>
        <v>0</v>
      </c>
      <c r="J1657" s="95"/>
    </row>
    <row r="1658" spans="1:11" ht="13" x14ac:dyDescent="0.3">
      <c r="A1658" s="91"/>
      <c r="B1658" s="74"/>
      <c r="C1658" s="74"/>
      <c r="D1658" s="74"/>
      <c r="E1658" s="74"/>
      <c r="F1658" s="74"/>
      <c r="G1658" s="74"/>
      <c r="H1658" s="84"/>
      <c r="I1658" s="84"/>
      <c r="J1658" s="95"/>
    </row>
    <row r="1659" spans="1:11" ht="13" x14ac:dyDescent="0.3">
      <c r="A1659" s="91"/>
      <c r="B1659" s="74"/>
      <c r="C1659" s="74"/>
      <c r="D1659" s="74"/>
      <c r="E1659" s="74"/>
      <c r="F1659" s="74"/>
      <c r="G1659" s="74"/>
      <c r="H1659" s="588"/>
      <c r="I1659" s="588"/>
      <c r="J1659" s="95"/>
    </row>
    <row r="1660" spans="1:11" ht="28.25" customHeight="1" x14ac:dyDescent="0.3">
      <c r="A1660" s="91"/>
      <c r="B1660" s="943" t="s">
        <v>484</v>
      </c>
      <c r="C1660" s="944"/>
      <c r="D1660" s="944"/>
      <c r="E1660" s="944"/>
      <c r="F1660" s="944"/>
      <c r="G1660" s="945"/>
      <c r="H1660" s="588"/>
      <c r="I1660" s="588"/>
      <c r="J1660" s="95"/>
    </row>
    <row r="1661" spans="1:11" ht="28.25" customHeight="1" x14ac:dyDescent="0.3">
      <c r="A1661" s="91"/>
      <c r="B1661" s="74"/>
      <c r="C1661" s="74"/>
      <c r="D1661" s="74"/>
      <c r="E1661" s="74"/>
      <c r="F1661" s="74"/>
      <c r="G1661" s="74"/>
      <c r="H1661" s="588"/>
      <c r="I1661" s="588"/>
      <c r="J1661" s="95"/>
    </row>
    <row r="1662" spans="1:11" ht="13" x14ac:dyDescent="0.3">
      <c r="A1662" s="91"/>
      <c r="B1662" s="104" t="s">
        <v>424</v>
      </c>
      <c r="C1662" s="74"/>
      <c r="D1662" s="74"/>
      <c r="E1662" s="74"/>
      <c r="F1662" s="74"/>
      <c r="G1662" s="74"/>
      <c r="H1662" s="84"/>
      <c r="I1662" s="84"/>
      <c r="J1662" s="95"/>
    </row>
    <row r="1663" spans="1:11" ht="13" x14ac:dyDescent="0.3">
      <c r="A1663" s="91"/>
      <c r="B1663" s="104"/>
      <c r="C1663" s="74"/>
      <c r="D1663" s="74"/>
      <c r="E1663" s="74"/>
      <c r="F1663" s="74"/>
      <c r="G1663" s="74"/>
      <c r="H1663" s="103" t="s">
        <v>451</v>
      </c>
      <c r="I1663" s="103" t="str">
        <f>+'Unit tariffs'!$F$11</f>
        <v>2026/2027</v>
      </c>
      <c r="J1663" s="95"/>
    </row>
    <row r="1664" spans="1:11" ht="13" x14ac:dyDescent="0.3">
      <c r="A1664" s="91"/>
      <c r="C1664" s="74" t="s">
        <v>414</v>
      </c>
      <c r="D1664">
        <v>41.58</v>
      </c>
      <c r="E1664" s="74" t="s">
        <v>415</v>
      </c>
      <c r="F1664" s="74"/>
      <c r="G1664" s="74"/>
      <c r="H1664" s="74"/>
      <c r="I1664" s="74"/>
      <c r="J1664" s="95"/>
    </row>
    <row r="1665" spans="1:11" ht="13" x14ac:dyDescent="0.3">
      <c r="A1665" s="91"/>
      <c r="B1665" s="74"/>
      <c r="C1665" s="74" t="s">
        <v>423</v>
      </c>
      <c r="D1665" s="1">
        <v>15</v>
      </c>
      <c r="E1665" s="74" t="s">
        <v>415</v>
      </c>
      <c r="F1665" s="74" t="s">
        <v>416</v>
      </c>
      <c r="G1665" s="74"/>
      <c r="H1665" s="84"/>
      <c r="I1665" s="84"/>
      <c r="J1665" s="95"/>
    </row>
    <row r="1666" spans="1:11" ht="13" x14ac:dyDescent="0.3">
      <c r="A1666" s="91"/>
      <c r="B1666" s="74"/>
      <c r="C1666" s="74" t="s">
        <v>115</v>
      </c>
      <c r="D1666" s="590">
        <f>+F1666</f>
        <v>0</v>
      </c>
      <c r="E1666" s="74" t="s">
        <v>417</v>
      </c>
      <c r="F1666" s="74">
        <v>0</v>
      </c>
      <c r="G1666" s="74"/>
      <c r="H1666" s="84"/>
      <c r="I1666" s="84"/>
      <c r="J1666" s="95"/>
    </row>
    <row r="1667" spans="1:11" ht="13" x14ac:dyDescent="0.3">
      <c r="A1667" s="91"/>
      <c r="B1667" s="74"/>
      <c r="C1667" s="74" t="s">
        <v>418</v>
      </c>
      <c r="D1667" s="594">
        <f>(F1667*D1665)</f>
        <v>0</v>
      </c>
      <c r="E1667" s="74" t="s">
        <v>417</v>
      </c>
      <c r="F1667" s="74">
        <v>0</v>
      </c>
      <c r="G1667" s="74" t="s">
        <v>419</v>
      </c>
      <c r="H1667" s="84"/>
      <c r="I1667" s="84"/>
      <c r="J1667" s="95"/>
    </row>
    <row r="1668" spans="1:11" ht="13" x14ac:dyDescent="0.3">
      <c r="A1668" s="91"/>
      <c r="B1668" s="74"/>
      <c r="C1668" s="74" t="s">
        <v>420</v>
      </c>
      <c r="D1668" s="190">
        <f>(D1665*31*24*0.33*F1668)</f>
        <v>6150.2918699217607</v>
      </c>
      <c r="E1668" s="74" t="s">
        <v>417</v>
      </c>
      <c r="F1668" s="186">
        <f>+'Unit tariffs'!$F$163</f>
        <v>1.6700043092000001</v>
      </c>
      <c r="G1668" s="74" t="s">
        <v>421</v>
      </c>
      <c r="H1668" s="84"/>
      <c r="I1668" s="84"/>
      <c r="J1668" s="95"/>
    </row>
    <row r="1669" spans="1:11" ht="13" x14ac:dyDescent="0.3">
      <c r="A1669" s="91"/>
      <c r="B1669" s="74"/>
      <c r="C1669" s="74" t="s">
        <v>422</v>
      </c>
      <c r="D1669" s="595">
        <f>D1668+D1667+D1666</f>
        <v>6150.2918699217607</v>
      </c>
      <c r="E1669" s="74"/>
      <c r="F1669" s="74"/>
      <c r="G1669" s="74"/>
      <c r="H1669" s="84"/>
      <c r="I1669" s="84"/>
      <c r="J1669" s="95"/>
    </row>
    <row r="1670" spans="1:11" ht="13" x14ac:dyDescent="0.3">
      <c r="A1670" s="91"/>
      <c r="B1670" s="74"/>
      <c r="C1670" s="74"/>
      <c r="D1670" s="596"/>
      <c r="E1670" s="74"/>
      <c r="F1670" s="74"/>
      <c r="G1670" s="74"/>
      <c r="H1670" s="84"/>
      <c r="I1670" s="84"/>
      <c r="J1670" s="95"/>
    </row>
    <row r="1671" spans="1:11" ht="13" x14ac:dyDescent="0.3">
      <c r="A1671" s="91"/>
      <c r="B1671" s="104" t="s">
        <v>425</v>
      </c>
      <c r="D1671" s="104">
        <v>5</v>
      </c>
      <c r="E1671" s="74"/>
      <c r="F1671" s="74"/>
      <c r="G1671" s="74"/>
      <c r="H1671" s="587">
        <v>30751.459349608805</v>
      </c>
      <c r="I1671" s="587">
        <f>+D1669*D1671</f>
        <v>30751.459349608805</v>
      </c>
      <c r="J1671" s="95"/>
    </row>
    <row r="1672" spans="1:11" ht="13" x14ac:dyDescent="0.3">
      <c r="A1672" s="91"/>
      <c r="B1672" s="74"/>
      <c r="C1672" s="74"/>
      <c r="D1672" s="74"/>
      <c r="E1672" s="74"/>
      <c r="F1672" s="74"/>
      <c r="G1672" s="74"/>
      <c r="H1672" s="597"/>
      <c r="I1672" s="597"/>
      <c r="J1672" s="95"/>
    </row>
    <row r="1673" spans="1:11" ht="13" x14ac:dyDescent="0.3">
      <c r="A1673" s="91"/>
      <c r="B1673" s="74"/>
      <c r="C1673" s="74"/>
      <c r="D1673" s="74"/>
      <c r="E1673" s="74"/>
      <c r="F1673" s="128"/>
      <c r="G1673" s="74"/>
      <c r="H1673" s="587">
        <v>30800</v>
      </c>
      <c r="I1673" s="587">
        <f>+ROUND(I1671,-2)</f>
        <v>30800</v>
      </c>
      <c r="J1673" s="95"/>
      <c r="K1673" s="599"/>
    </row>
    <row r="1674" spans="1:11" ht="13" x14ac:dyDescent="0.3">
      <c r="A1674" s="91"/>
      <c r="B1674" s="74"/>
      <c r="C1674" s="74"/>
      <c r="D1674" s="74"/>
      <c r="E1674" s="74"/>
      <c r="F1674" s="128"/>
      <c r="G1674" s="74"/>
      <c r="H1674" s="587"/>
      <c r="I1674" s="587"/>
      <c r="J1674" s="95"/>
    </row>
    <row r="1675" spans="1:11" ht="13" x14ac:dyDescent="0.3">
      <c r="A1675" s="91"/>
      <c r="B1675" s="74"/>
      <c r="C1675" s="74"/>
      <c r="D1675" s="74"/>
      <c r="E1675" s="74"/>
      <c r="F1675" s="128"/>
      <c r="G1675" s="74"/>
      <c r="H1675" s="598">
        <v>0</v>
      </c>
      <c r="I1675" s="598">
        <f>+(I1673-H1673)/H1673</f>
        <v>0</v>
      </c>
      <c r="J1675" s="95"/>
    </row>
    <row r="1676" spans="1:11" ht="17.399999999999999" customHeight="1" x14ac:dyDescent="0.3">
      <c r="A1676" s="91"/>
      <c r="B1676" s="74"/>
      <c r="C1676" s="74"/>
      <c r="D1676" s="74"/>
      <c r="E1676" s="74"/>
      <c r="F1676" s="74"/>
      <c r="G1676" s="74"/>
      <c r="H1676" s="588"/>
      <c r="I1676" s="588"/>
      <c r="J1676" s="95"/>
    </row>
    <row r="1677" spans="1:11" ht="13.5" thickBot="1" x14ac:dyDescent="0.35">
      <c r="A1677" s="448"/>
      <c r="B1677" s="123"/>
      <c r="C1677" s="123"/>
      <c r="D1677" s="123"/>
      <c r="E1677" s="123"/>
      <c r="F1677" s="123"/>
      <c r="G1677" s="123"/>
      <c r="H1677" s="123"/>
      <c r="I1677" s="123"/>
      <c r="J1677" s="95"/>
    </row>
    <row r="1678" spans="1:11" ht="13.5" thickTop="1" x14ac:dyDescent="0.3">
      <c r="A1678" s="91"/>
      <c r="B1678" s="74"/>
      <c r="C1678" s="74"/>
      <c r="D1678" s="74"/>
      <c r="E1678" s="74"/>
      <c r="F1678" s="74"/>
      <c r="G1678" s="74"/>
      <c r="H1678" s="74"/>
      <c r="I1678" s="74"/>
      <c r="J1678" s="95"/>
    </row>
    <row r="1679" spans="1:11" ht="13.5" thickBot="1" x14ac:dyDescent="0.35">
      <c r="A1679" s="91"/>
      <c r="B1679" s="74"/>
      <c r="C1679" s="74"/>
      <c r="D1679" s="74"/>
      <c r="E1679" s="74"/>
      <c r="F1679" s="74"/>
      <c r="G1679" s="74"/>
      <c r="H1679" s="74"/>
      <c r="I1679" s="74"/>
      <c r="J1679" s="95"/>
    </row>
    <row r="1680" spans="1:11" ht="13.5" thickTop="1" x14ac:dyDescent="0.3">
      <c r="A1680" s="445"/>
      <c r="B1680" s="92" t="s">
        <v>485</v>
      </c>
      <c r="C1680" s="93"/>
      <c r="D1680" s="93"/>
      <c r="E1680" s="93"/>
      <c r="F1680" s="93"/>
      <c r="G1680" s="93"/>
      <c r="H1680" s="94"/>
      <c r="I1680" s="94"/>
      <c r="J1680" s="450"/>
    </row>
    <row r="1681" spans="1:10" ht="13" x14ac:dyDescent="0.3">
      <c r="A1681" s="91"/>
      <c r="B1681" s="104"/>
      <c r="C1681" s="74"/>
      <c r="D1681" s="74"/>
      <c r="E1681" s="74"/>
      <c r="F1681" s="74"/>
      <c r="G1681" s="74"/>
      <c r="H1681" s="74"/>
      <c r="I1681" s="74"/>
      <c r="J1681" s="95"/>
    </row>
    <row r="1682" spans="1:10" ht="13" x14ac:dyDescent="0.3">
      <c r="A1682" s="91"/>
      <c r="B1682" s="74"/>
      <c r="C1682" s="74"/>
      <c r="D1682" s="74"/>
      <c r="E1682" s="74"/>
      <c r="F1682" s="74"/>
      <c r="G1682" s="74"/>
      <c r="H1682" s="103" t="s">
        <v>451</v>
      </c>
      <c r="I1682" s="103" t="str">
        <f>+'Unit tariffs'!$F$11</f>
        <v>2026/2027</v>
      </c>
      <c r="J1682" s="95"/>
    </row>
    <row r="1683" spans="1:10" ht="13" x14ac:dyDescent="0.3">
      <c r="A1683" s="91"/>
      <c r="B1683" s="104" t="s">
        <v>41</v>
      </c>
      <c r="C1683" s="74"/>
      <c r="D1683" s="74"/>
      <c r="E1683" s="74"/>
      <c r="F1683" s="74"/>
      <c r="G1683" s="74"/>
      <c r="H1683" s="74"/>
      <c r="I1683" s="74"/>
      <c r="J1683" s="95"/>
    </row>
    <row r="1684" spans="1:10" ht="13" x14ac:dyDescent="0.3">
      <c r="A1684" s="91"/>
      <c r="B1684" s="74"/>
      <c r="C1684" s="74"/>
      <c r="D1684" s="74"/>
      <c r="E1684" s="74"/>
      <c r="F1684" s="74"/>
      <c r="G1684" s="74"/>
      <c r="H1684" s="74"/>
      <c r="I1684" s="74"/>
      <c r="J1684" s="444" t="s">
        <v>313</v>
      </c>
    </row>
    <row r="1685" spans="1:10" ht="13" x14ac:dyDescent="0.3">
      <c r="A1685" s="91"/>
      <c r="B1685" s="74">
        <v>0</v>
      </c>
      <c r="C1685" s="74" t="s">
        <v>228</v>
      </c>
      <c r="D1685" s="74"/>
      <c r="E1685" s="74"/>
      <c r="F1685" s="85"/>
      <c r="G1685" s="74"/>
      <c r="H1685" s="76">
        <v>0</v>
      </c>
      <c r="I1685" s="76">
        <f>VLOOKUP($C1685,'Unit tariffs'!$B$21:$F$123,5,FALSE)*$B1685</f>
        <v>0</v>
      </c>
      <c r="J1685" s="447" t="e">
        <f>IF(+I1685*'Unit tariffs'!#REF!&gt;'Unit tariffs'!#REF!,'Unit tariffs'!#REF!,+I1685*'Unit tariffs'!#REF!)</f>
        <v>#REF!</v>
      </c>
    </row>
    <row r="1686" spans="1:10" ht="13" x14ac:dyDescent="0.3">
      <c r="A1686" s="91"/>
      <c r="B1686" s="74">
        <v>0</v>
      </c>
      <c r="C1686" s="74" t="str">
        <f>'Unit tariffs'!B43</f>
        <v>x 80 A circuit breaker (5kA) - Orange</v>
      </c>
      <c r="D1686" s="74"/>
      <c r="E1686" s="74"/>
      <c r="F1686" s="74"/>
      <c r="G1686" s="74"/>
      <c r="H1686" s="81">
        <v>0</v>
      </c>
      <c r="I1686" s="81">
        <f>VLOOKUP($C1686,'Unit tariffs'!$B$21:$F$123,5,FALSE)*$B1686</f>
        <v>0</v>
      </c>
      <c r="J1686" s="447" t="e">
        <f>IF(+I1686*'Unit tariffs'!#REF!&gt;'Unit tariffs'!#REF!,'Unit tariffs'!#REF!,+I1686*'Unit tariffs'!#REF!)</f>
        <v>#REF!</v>
      </c>
    </row>
    <row r="1687" spans="1:10" ht="13" x14ac:dyDescent="0.3">
      <c r="A1687" s="91"/>
      <c r="B1687" s="74"/>
      <c r="C1687" s="74"/>
      <c r="D1687" s="74"/>
      <c r="E1687" s="74"/>
      <c r="F1687" s="74"/>
      <c r="G1687" s="76"/>
      <c r="H1687" s="76">
        <v>0</v>
      </c>
      <c r="I1687" s="76">
        <f>SUM(I1685:I1686)</f>
        <v>0</v>
      </c>
      <c r="J1687" s="105"/>
    </row>
    <row r="1688" spans="1:10" ht="13" x14ac:dyDescent="0.3">
      <c r="A1688" s="91"/>
      <c r="B1688" s="104" t="s">
        <v>42</v>
      </c>
      <c r="C1688" s="74"/>
      <c r="D1688" s="74"/>
      <c r="E1688" s="74"/>
      <c r="F1688" s="74"/>
      <c r="G1688" s="74"/>
      <c r="H1688" s="74"/>
      <c r="I1688" s="74"/>
      <c r="J1688" s="105"/>
    </row>
    <row r="1689" spans="1:10" ht="13" x14ac:dyDescent="0.3">
      <c r="A1689" s="91"/>
      <c r="B1689" s="74"/>
      <c r="C1689" s="74"/>
      <c r="D1689" s="74"/>
      <c r="E1689" s="74"/>
      <c r="F1689" s="74"/>
      <c r="G1689" s="74"/>
      <c r="H1689" s="74"/>
      <c r="I1689" s="74"/>
      <c r="J1689" s="105"/>
    </row>
    <row r="1690" spans="1:10" ht="13" x14ac:dyDescent="0.3">
      <c r="A1690" s="91"/>
      <c r="B1690" s="74">
        <v>10</v>
      </c>
      <c r="C1690" s="74" t="str">
        <f>'Unit tariffs'!B$87</f>
        <v xml:space="preserve">hour-artisan </v>
      </c>
      <c r="D1690" s="74"/>
      <c r="E1690" s="74"/>
      <c r="F1690" s="74"/>
      <c r="G1690" s="74"/>
      <c r="H1690" s="76">
        <v>3228.5223173076924</v>
      </c>
      <c r="I1690" s="76">
        <f>VLOOKUP($C1690,'Unit tariffs'!$B$21:$F$123,5,FALSE)*$B1690</f>
        <v>3511.927661538462</v>
      </c>
      <c r="J1690" s="105"/>
    </row>
    <row r="1691" spans="1:10" ht="13" x14ac:dyDescent="0.3">
      <c r="A1691" s="91"/>
      <c r="B1691" s="74">
        <v>10</v>
      </c>
      <c r="C1691" s="74" t="str">
        <f>'Unit tariffs'!B$85</f>
        <v>hour-artisan assistant</v>
      </c>
      <c r="D1691" s="74"/>
      <c r="E1691" s="74"/>
      <c r="F1691" s="74"/>
      <c r="G1691" s="74"/>
      <c r="H1691" s="81">
        <v>1285.3580769230771</v>
      </c>
      <c r="I1691" s="81">
        <f>VLOOKUP($C1691,'Unit tariffs'!$B$21:$F$123,5,FALSE)*$B1691</f>
        <v>1398.2425846153847</v>
      </c>
      <c r="J1691" s="105"/>
    </row>
    <row r="1692" spans="1:10" ht="13" x14ac:dyDescent="0.3">
      <c r="A1692" s="91"/>
      <c r="B1692" s="74"/>
      <c r="C1692" s="74"/>
      <c r="D1692" s="74"/>
      <c r="E1692" s="74"/>
      <c r="F1692" s="74"/>
      <c r="G1692" s="74"/>
      <c r="H1692" s="76">
        <v>4513.8803942307695</v>
      </c>
      <c r="I1692" s="76">
        <f>SUM(I1690:I1691)</f>
        <v>4910.1702461538462</v>
      </c>
      <c r="J1692" s="105"/>
    </row>
    <row r="1693" spans="1:10" ht="13" x14ac:dyDescent="0.3">
      <c r="A1693" s="91"/>
      <c r="B1693" s="104" t="s">
        <v>43</v>
      </c>
      <c r="C1693" s="74"/>
      <c r="D1693" s="74"/>
      <c r="E1693" s="74"/>
      <c r="F1693" s="74"/>
      <c r="G1693" s="74"/>
      <c r="H1693" s="74"/>
      <c r="I1693" s="74"/>
      <c r="J1693" s="105"/>
    </row>
    <row r="1694" spans="1:10" ht="13" x14ac:dyDescent="0.3">
      <c r="A1694" s="91"/>
      <c r="B1694" s="74"/>
      <c r="C1694" s="74"/>
      <c r="D1694" s="74"/>
      <c r="E1694" s="74"/>
      <c r="F1694" s="74"/>
      <c r="G1694" s="74"/>
      <c r="H1694" s="74"/>
      <c r="I1694" s="74"/>
      <c r="J1694" s="95"/>
    </row>
    <row r="1695" spans="1:10" ht="13" x14ac:dyDescent="0.3">
      <c r="A1695" s="91"/>
      <c r="B1695" s="74">
        <v>80</v>
      </c>
      <c r="C1695" s="74" t="str">
        <f>'Unit tariffs'!B$111</f>
        <v>km-truck with platform</v>
      </c>
      <c r="D1695" s="74"/>
      <c r="E1695" s="74"/>
      <c r="F1695" s="74"/>
      <c r="G1695" s="74"/>
      <c r="H1695" s="76">
        <v>3369.6402780607464</v>
      </c>
      <c r="I1695" s="76">
        <f>VLOOKUP($C1695,'Unit tariffs'!$B$21:$F$123,5,FALSE)*$B1695</f>
        <v>3942.6657393728442</v>
      </c>
      <c r="J1695" s="110"/>
    </row>
    <row r="1696" spans="1:10" ht="13" x14ac:dyDescent="0.3">
      <c r="A1696" s="91"/>
      <c r="B1696" s="74">
        <v>4</v>
      </c>
      <c r="C1696" s="74" t="str">
        <f>'Unit tariffs'!B$112</f>
        <v>hour-truck with platform</v>
      </c>
      <c r="D1696" s="74"/>
      <c r="E1696" s="74"/>
      <c r="F1696" s="74"/>
      <c r="G1696" s="74"/>
      <c r="H1696" s="76">
        <v>819.93766924669251</v>
      </c>
      <c r="I1696" s="76">
        <f>VLOOKUP($C1696,'Unit tariffs'!$B$21:$F$123,5,FALSE)*$B1696</f>
        <v>959.37248198511679</v>
      </c>
      <c r="J1696" s="105"/>
    </row>
    <row r="1697" spans="1:10" ht="13" x14ac:dyDescent="0.3">
      <c r="A1697" s="91"/>
      <c r="B1697" s="74"/>
      <c r="C1697" s="74"/>
      <c r="D1697" s="74"/>
      <c r="E1697" s="74"/>
      <c r="F1697" s="74"/>
      <c r="G1697" s="74"/>
      <c r="H1697" s="137">
        <v>4189.577947307439</v>
      </c>
      <c r="I1697" s="137">
        <f>SUM(I1695:I1696)</f>
        <v>4902.0382213579614</v>
      </c>
      <c r="J1697" s="113"/>
    </row>
    <row r="1698" spans="1:10" ht="13.5" thickBot="1" x14ac:dyDescent="0.35">
      <c r="A1698" s="91"/>
      <c r="B1698" s="104"/>
      <c r="C1698" s="74"/>
      <c r="D1698" s="106"/>
      <c r="E1698" s="74"/>
      <c r="F1698" s="74"/>
      <c r="G1698" s="74"/>
      <c r="H1698" s="108"/>
      <c r="I1698" s="108"/>
      <c r="J1698" s="95"/>
    </row>
    <row r="1699" spans="1:10" ht="13.5" thickTop="1" x14ac:dyDescent="0.3">
      <c r="A1699" s="91"/>
      <c r="B1699" s="74"/>
      <c r="C1699" s="74"/>
      <c r="D1699" s="74"/>
      <c r="E1699" s="74"/>
      <c r="F1699" s="74"/>
      <c r="G1699" s="76"/>
      <c r="H1699" s="76">
        <v>8703.4583415382076</v>
      </c>
      <c r="I1699" s="76">
        <f>I1697+I1692+I1687</f>
        <v>9812.2084675118076</v>
      </c>
      <c r="J1699" s="95"/>
    </row>
    <row r="1700" spans="1:10" ht="13.5" thickBot="1" x14ac:dyDescent="0.35">
      <c r="A1700" s="91"/>
      <c r="B1700" s="104" t="str">
        <f>'Unit tariffs'!$B$7</f>
        <v>Administration Levy (Indirect Cost)</v>
      </c>
      <c r="C1700" s="74"/>
      <c r="D1700" s="106">
        <f>'Unit tariffs'!$C$7</f>
        <v>0.1</v>
      </c>
      <c r="E1700" s="74" t="s">
        <v>311</v>
      </c>
      <c r="F1700" s="186">
        <f>+'Unit tariffs'!$F$7</f>
        <v>10000</v>
      </c>
      <c r="G1700" s="76"/>
      <c r="H1700" s="108">
        <v>870.34583415382076</v>
      </c>
      <c r="I1700" s="108">
        <f>IF(I1699*$D1700&gt;='Unit tariffs'!$E$7,'Unit tariffs'!$E$7,I1699*$D1700)</f>
        <v>981.22084675118083</v>
      </c>
      <c r="J1700" s="95"/>
    </row>
    <row r="1701" spans="1:10" ht="13.5" thickTop="1" x14ac:dyDescent="0.3">
      <c r="A1701" s="91"/>
      <c r="B1701" s="104" t="s">
        <v>44</v>
      </c>
      <c r="C1701" s="74"/>
      <c r="D1701" s="74"/>
      <c r="E1701" s="74"/>
      <c r="F1701" s="74"/>
      <c r="G1701" s="76"/>
      <c r="H1701" s="109">
        <v>9573.8041756920284</v>
      </c>
      <c r="I1701" s="109">
        <f>SUM(I1699:I1700)</f>
        <v>10793.429314262989</v>
      </c>
      <c r="J1701" s="95"/>
    </row>
    <row r="1702" spans="1:10" ht="13" x14ac:dyDescent="0.3">
      <c r="A1702" s="91"/>
      <c r="B1702" s="74"/>
      <c r="C1702" s="74"/>
      <c r="D1702" s="74"/>
      <c r="E1702" s="74"/>
      <c r="F1702" s="74"/>
      <c r="G1702" s="74"/>
      <c r="H1702" s="74"/>
      <c r="I1702" s="74"/>
      <c r="J1702" s="95"/>
    </row>
    <row r="1703" spans="1:10" ht="13" x14ac:dyDescent="0.3">
      <c r="A1703" s="91"/>
      <c r="B1703" s="104" t="s">
        <v>45</v>
      </c>
      <c r="C1703" s="74"/>
      <c r="D1703" s="74"/>
      <c r="E1703" s="74"/>
      <c r="F1703" s="74"/>
      <c r="G1703" s="74"/>
      <c r="H1703" s="84">
        <v>9570</v>
      </c>
      <c r="I1703" s="84">
        <f>ROUND(I1701,-1)</f>
        <v>10790</v>
      </c>
      <c r="J1703" s="95"/>
    </row>
    <row r="1704" spans="1:10" ht="13" x14ac:dyDescent="0.3">
      <c r="A1704" s="91"/>
      <c r="B1704" s="74"/>
      <c r="C1704" s="74"/>
      <c r="D1704" s="74"/>
      <c r="E1704" s="74"/>
      <c r="F1704" s="74"/>
      <c r="G1704" s="74"/>
      <c r="H1704" s="76"/>
      <c r="I1704" s="76"/>
      <c r="J1704" s="95"/>
    </row>
    <row r="1705" spans="1:10" ht="13" x14ac:dyDescent="0.3">
      <c r="A1705" s="91"/>
      <c r="B1705" s="74"/>
      <c r="C1705" s="74"/>
      <c r="D1705" s="74"/>
      <c r="E1705" s="74"/>
      <c r="F1705" s="74"/>
      <c r="G1705" s="74"/>
      <c r="H1705" s="112">
        <v>0</v>
      </c>
      <c r="I1705" s="112">
        <f>(I1703-H1703)/H1703</f>
        <v>0.12748171368861025</v>
      </c>
      <c r="J1705" s="95"/>
    </row>
    <row r="1706" spans="1:10" ht="13" x14ac:dyDescent="0.3">
      <c r="A1706" s="91"/>
      <c r="B1706" s="74"/>
      <c r="C1706" s="74"/>
      <c r="D1706" s="74"/>
      <c r="E1706" s="74"/>
      <c r="F1706" s="74"/>
      <c r="G1706" s="74"/>
      <c r="H1706" s="74"/>
      <c r="I1706" s="74"/>
      <c r="J1706" s="95"/>
    </row>
    <row r="1707" spans="1:10" ht="13" x14ac:dyDescent="0.3">
      <c r="A1707" s="91"/>
      <c r="B1707" s="74"/>
      <c r="C1707" s="74"/>
      <c r="D1707" s="74"/>
      <c r="E1707" s="74"/>
      <c r="F1707" s="74"/>
      <c r="G1707" s="74"/>
      <c r="H1707" s="74"/>
      <c r="I1707" s="74"/>
      <c r="J1707" s="95"/>
    </row>
    <row r="1708" spans="1:10" ht="26.25" customHeight="1" x14ac:dyDescent="0.3">
      <c r="A1708" s="91"/>
      <c r="B1708" s="92" t="s">
        <v>486</v>
      </c>
      <c r="C1708" s="93"/>
      <c r="D1708" s="93"/>
      <c r="E1708" s="93"/>
      <c r="F1708" s="93"/>
      <c r="G1708" s="93"/>
      <c r="H1708" s="94"/>
      <c r="I1708" s="94"/>
      <c r="J1708" s="450"/>
    </row>
    <row r="1709" spans="1:10" ht="13" x14ac:dyDescent="0.3">
      <c r="A1709" s="91"/>
      <c r="B1709" s="104"/>
      <c r="C1709" s="74"/>
      <c r="D1709" s="74"/>
      <c r="E1709" s="74"/>
      <c r="F1709" s="74"/>
      <c r="G1709" s="74"/>
      <c r="H1709" s="74"/>
      <c r="I1709" s="74"/>
      <c r="J1709" s="95"/>
    </row>
    <row r="1710" spans="1:10" ht="13" x14ac:dyDescent="0.3">
      <c r="A1710" s="91"/>
      <c r="B1710" s="74"/>
      <c r="C1710" s="74"/>
      <c r="D1710" s="74"/>
      <c r="E1710" s="74"/>
      <c r="F1710" s="74"/>
      <c r="G1710" s="74"/>
      <c r="H1710" s="103" t="s">
        <v>451</v>
      </c>
      <c r="I1710" s="103" t="str">
        <f>+'Unit tariffs'!$F$11</f>
        <v>2026/2027</v>
      </c>
      <c r="J1710" s="95"/>
    </row>
    <row r="1711" spans="1:10" ht="13" x14ac:dyDescent="0.3">
      <c r="A1711" s="91"/>
      <c r="B1711" s="104" t="s">
        <v>41</v>
      </c>
      <c r="C1711" s="74"/>
      <c r="D1711" s="74"/>
      <c r="E1711" s="74"/>
      <c r="F1711" s="74"/>
      <c r="G1711" s="74"/>
      <c r="H1711" s="74"/>
      <c r="I1711" s="74"/>
      <c r="J1711" s="95"/>
    </row>
    <row r="1712" spans="1:10" ht="13" x14ac:dyDescent="0.3">
      <c r="A1712" s="91"/>
      <c r="B1712" s="74"/>
      <c r="C1712" s="74"/>
      <c r="D1712" s="74"/>
      <c r="E1712" s="74"/>
      <c r="F1712" s="74"/>
      <c r="G1712" s="74"/>
      <c r="H1712" s="74"/>
      <c r="I1712" s="74"/>
      <c r="J1712" s="444" t="s">
        <v>313</v>
      </c>
    </row>
    <row r="1713" spans="1:10" ht="13" x14ac:dyDescent="0.3">
      <c r="A1713" s="91"/>
      <c r="B1713" s="74">
        <v>1</v>
      </c>
      <c r="C1713" s="74" t="s">
        <v>228</v>
      </c>
      <c r="D1713" s="74"/>
      <c r="E1713" s="74"/>
      <c r="F1713" s="85" t="s">
        <v>262</v>
      </c>
      <c r="G1713" s="74"/>
      <c r="H1713" s="76">
        <v>2262.7591214051877</v>
      </c>
      <c r="I1713" s="76">
        <f>VLOOKUP($C1713,'Unit tariffs'!$B$21:$F$123,5,FALSE)*$B1713</f>
        <v>1214.6779749999998</v>
      </c>
      <c r="J1713" s="447" t="e">
        <f>IF(+I1713*'Unit tariffs'!#REF!&gt;'Unit tariffs'!#REF!,'Unit tariffs'!#REF!,+I1713*'Unit tariffs'!#REF!)</f>
        <v>#REF!</v>
      </c>
    </row>
    <row r="1714" spans="1:10" ht="13" x14ac:dyDescent="0.3">
      <c r="A1714" s="91"/>
      <c r="B1714" s="74">
        <v>2</v>
      </c>
      <c r="C1714" s="74" t="str">
        <f>'Unit tariffs'!B21</f>
        <v>Installation material</v>
      </c>
      <c r="D1714" s="74"/>
      <c r="E1714" s="74"/>
      <c r="F1714" s="74"/>
      <c r="G1714" s="74"/>
      <c r="H1714" s="81">
        <v>542.88200000000006</v>
      </c>
      <c r="I1714" s="81">
        <f>VLOOKUP($C1714,'Unit tariffs'!$B$21:$F$123,5,FALSE)*$B1714</f>
        <v>564.9665</v>
      </c>
      <c r="J1714" s="447" t="e">
        <f>IF(+I1714*'Unit tariffs'!#REF!&gt;'Unit tariffs'!#REF!,'Unit tariffs'!#REF!,+I1714*'Unit tariffs'!#REF!)</f>
        <v>#REF!</v>
      </c>
    </row>
    <row r="1715" spans="1:10" ht="13" x14ac:dyDescent="0.3">
      <c r="A1715" s="91"/>
      <c r="B1715" s="74"/>
      <c r="C1715" s="74"/>
      <c r="D1715" s="74"/>
      <c r="E1715" s="74"/>
      <c r="F1715" s="74"/>
      <c r="G1715" s="76"/>
      <c r="H1715" s="76">
        <v>2805.6411214051877</v>
      </c>
      <c r="I1715" s="76">
        <f>SUM(I1713:I1714)</f>
        <v>1779.6444749999998</v>
      </c>
      <c r="J1715" s="105"/>
    </row>
    <row r="1716" spans="1:10" ht="13" x14ac:dyDescent="0.3">
      <c r="A1716" s="91"/>
      <c r="B1716" s="104" t="s">
        <v>42</v>
      </c>
      <c r="C1716" s="74"/>
      <c r="D1716" s="74"/>
      <c r="E1716" s="74"/>
      <c r="F1716" s="74"/>
      <c r="G1716" s="74"/>
      <c r="H1716" s="74"/>
      <c r="I1716" s="74"/>
      <c r="J1716" s="105"/>
    </row>
    <row r="1717" spans="1:10" ht="13" x14ac:dyDescent="0.3">
      <c r="A1717" s="91"/>
      <c r="B1717" s="74"/>
      <c r="C1717" s="74"/>
      <c r="D1717" s="74"/>
      <c r="E1717" s="74"/>
      <c r="F1717" s="74"/>
      <c r="G1717" s="74"/>
      <c r="H1717" s="74"/>
      <c r="I1717" s="74"/>
      <c r="J1717" s="105"/>
    </row>
    <row r="1718" spans="1:10" ht="13" x14ac:dyDescent="0.3">
      <c r="A1718" s="91"/>
      <c r="B1718" s="74">
        <v>4</v>
      </c>
      <c r="C1718" s="74" t="str">
        <f>'Unit tariffs'!B$87</f>
        <v xml:space="preserve">hour-artisan </v>
      </c>
      <c r="D1718" s="74"/>
      <c r="E1718" s="74"/>
      <c r="F1718" s="74"/>
      <c r="G1718" s="74"/>
      <c r="H1718" s="76">
        <v>1291.4089269230769</v>
      </c>
      <c r="I1718" s="76">
        <f>VLOOKUP($C1718,'Unit tariffs'!$B$21:$F$123,5,FALSE)*$B1718</f>
        <v>1404.7710646153848</v>
      </c>
      <c r="J1718" s="105"/>
    </row>
    <row r="1719" spans="1:10" ht="13" x14ac:dyDescent="0.3">
      <c r="A1719" s="91"/>
      <c r="B1719" s="74">
        <v>4</v>
      </c>
      <c r="C1719" s="74" t="str">
        <f>'Unit tariffs'!B$85</f>
        <v>hour-artisan assistant</v>
      </c>
      <c r="D1719" s="74"/>
      <c r="E1719" s="74"/>
      <c r="F1719" s="74"/>
      <c r="G1719" s="74"/>
      <c r="H1719" s="81">
        <v>514.14323076923085</v>
      </c>
      <c r="I1719" s="81">
        <f>VLOOKUP($C1719,'Unit tariffs'!$B$21:$F$123,5,FALSE)*$B1719</f>
        <v>559.29703384615391</v>
      </c>
      <c r="J1719" s="105"/>
    </row>
    <row r="1720" spans="1:10" ht="13" x14ac:dyDescent="0.3">
      <c r="A1720" s="91"/>
      <c r="B1720" s="74"/>
      <c r="C1720" s="74"/>
      <c r="D1720" s="74"/>
      <c r="E1720" s="74"/>
      <c r="F1720" s="74"/>
      <c r="G1720" s="74"/>
      <c r="H1720" s="76">
        <v>1805.5521576923079</v>
      </c>
      <c r="I1720" s="76">
        <f>SUM(I1718:I1719)</f>
        <v>1964.0680984615387</v>
      </c>
      <c r="J1720" s="105"/>
    </row>
    <row r="1721" spans="1:10" ht="13" x14ac:dyDescent="0.3">
      <c r="A1721" s="91"/>
      <c r="B1721" s="104" t="s">
        <v>43</v>
      </c>
      <c r="C1721" s="74"/>
      <c r="D1721" s="74"/>
      <c r="E1721" s="74"/>
      <c r="F1721" s="74"/>
      <c r="G1721" s="74"/>
      <c r="H1721" s="74"/>
      <c r="I1721" s="74"/>
      <c r="J1721" s="105"/>
    </row>
    <row r="1722" spans="1:10" ht="13" x14ac:dyDescent="0.3">
      <c r="A1722" s="91"/>
      <c r="B1722" s="74"/>
      <c r="C1722" s="74"/>
      <c r="D1722" s="74"/>
      <c r="E1722" s="74"/>
      <c r="F1722" s="74"/>
      <c r="G1722" s="74"/>
      <c r="H1722" s="74"/>
      <c r="I1722" s="74"/>
      <c r="J1722" s="95"/>
    </row>
    <row r="1723" spans="1:10" ht="13" x14ac:dyDescent="0.3">
      <c r="A1723" s="91"/>
      <c r="B1723" s="74">
        <v>40</v>
      </c>
      <c r="C1723" s="74" t="str">
        <f>'Unit tariffs'!B$111</f>
        <v>km-truck with platform</v>
      </c>
      <c r="D1723" s="74"/>
      <c r="E1723" s="74"/>
      <c r="F1723" s="74"/>
      <c r="G1723" s="74"/>
      <c r="H1723" s="76">
        <v>1684.8201390303732</v>
      </c>
      <c r="I1723" s="76">
        <f>VLOOKUP($C1723,'Unit tariffs'!$B$21:$F$123,5,FALSE)*$B1723</f>
        <v>1971.3328696864221</v>
      </c>
      <c r="J1723" s="110"/>
    </row>
    <row r="1724" spans="1:10" ht="13" x14ac:dyDescent="0.3">
      <c r="A1724" s="91"/>
      <c r="B1724" s="74">
        <v>4</v>
      </c>
      <c r="C1724" s="74" t="str">
        <f>'Unit tariffs'!B$112</f>
        <v>hour-truck with platform</v>
      </c>
      <c r="D1724" s="74"/>
      <c r="E1724" s="74"/>
      <c r="F1724" s="74"/>
      <c r="G1724" s="74"/>
      <c r="H1724" s="76">
        <v>819.93766924669251</v>
      </c>
      <c r="I1724" s="76">
        <f>VLOOKUP($C1724,'Unit tariffs'!$B$21:$F$123,5,FALSE)*$B1724</f>
        <v>959.37248198511679</v>
      </c>
      <c r="J1724" s="105"/>
    </row>
    <row r="1725" spans="1:10" ht="13" x14ac:dyDescent="0.3">
      <c r="A1725" s="91"/>
      <c r="B1725" s="74"/>
      <c r="C1725" s="74"/>
      <c r="D1725" s="74"/>
      <c r="E1725" s="74"/>
      <c r="F1725" s="74"/>
      <c r="G1725" s="74"/>
      <c r="H1725" s="137">
        <v>2504.7578082770656</v>
      </c>
      <c r="I1725" s="137">
        <f>SUM(I1723:I1724)</f>
        <v>2930.7053516715387</v>
      </c>
      <c r="J1725" s="113"/>
    </row>
    <row r="1726" spans="1:10" ht="13.5" thickBot="1" x14ac:dyDescent="0.35">
      <c r="A1726" s="91"/>
      <c r="B1726" s="104"/>
      <c r="C1726" s="74"/>
      <c r="D1726" s="106"/>
      <c r="E1726" s="74"/>
      <c r="F1726" s="74"/>
      <c r="G1726" s="74"/>
      <c r="H1726" s="108"/>
      <c r="I1726" s="108"/>
      <c r="J1726" s="95"/>
    </row>
    <row r="1727" spans="1:10" ht="13.5" thickTop="1" x14ac:dyDescent="0.3">
      <c r="A1727" s="91"/>
      <c r="B1727" s="74"/>
      <c r="C1727" s="74"/>
      <c r="D1727" s="74"/>
      <c r="E1727" s="74"/>
      <c r="F1727" s="74"/>
      <c r="G1727" s="76"/>
      <c r="H1727" s="76">
        <v>7115.9510873745612</v>
      </c>
      <c r="I1727" s="76">
        <f>I1725+I1720+I1715</f>
        <v>6674.4179251330779</v>
      </c>
      <c r="J1727" s="95"/>
    </row>
    <row r="1728" spans="1:10" ht="13.5" thickBot="1" x14ac:dyDescent="0.35">
      <c r="A1728" s="91"/>
      <c r="B1728" s="104" t="str">
        <f>'Unit tariffs'!$B$7</f>
        <v>Administration Levy (Indirect Cost)</v>
      </c>
      <c r="C1728" s="74"/>
      <c r="D1728" s="106">
        <f>'Unit tariffs'!$C$7</f>
        <v>0.1</v>
      </c>
      <c r="E1728" s="74" t="s">
        <v>311</v>
      </c>
      <c r="F1728" s="186">
        <f>+'Unit tariffs'!$F$7</f>
        <v>10000</v>
      </c>
      <c r="G1728" s="76"/>
      <c r="H1728" s="108">
        <v>711.59510873745614</v>
      </c>
      <c r="I1728" s="108">
        <f>IF(I1727*$D1728&gt;='Unit tariffs'!$E$7,'Unit tariffs'!$E$7,I1727*$D1728)</f>
        <v>667.44179251330786</v>
      </c>
      <c r="J1728" s="95"/>
    </row>
    <row r="1729" spans="1:10" ht="13.5" thickTop="1" x14ac:dyDescent="0.3">
      <c r="A1729" s="91"/>
      <c r="B1729" s="104" t="s">
        <v>44</v>
      </c>
      <c r="C1729" s="74"/>
      <c r="D1729" s="74"/>
      <c r="E1729" s="74"/>
      <c r="F1729" s="74"/>
      <c r="G1729" s="76"/>
      <c r="H1729" s="109">
        <v>7827.5461961120172</v>
      </c>
      <c r="I1729" s="109">
        <f>SUM(I1727:I1728)</f>
        <v>7341.8597176463854</v>
      </c>
      <c r="J1729" s="95"/>
    </row>
    <row r="1730" spans="1:10" ht="32.25" customHeight="1" x14ac:dyDescent="0.3">
      <c r="A1730" s="91"/>
      <c r="B1730" s="74"/>
      <c r="C1730" s="74"/>
      <c r="D1730" s="74"/>
      <c r="E1730" s="74"/>
      <c r="F1730" s="74"/>
      <c r="G1730" s="74"/>
      <c r="H1730" s="74"/>
      <c r="I1730" s="74"/>
      <c r="J1730" s="95"/>
    </row>
    <row r="1731" spans="1:10" ht="13" x14ac:dyDescent="0.3">
      <c r="A1731" s="91"/>
      <c r="B1731" s="104" t="s">
        <v>45</v>
      </c>
      <c r="C1731" s="74"/>
      <c r="D1731" s="74"/>
      <c r="E1731" s="74"/>
      <c r="F1731" s="74"/>
      <c r="G1731" s="74"/>
      <c r="H1731" s="84">
        <v>7830</v>
      </c>
      <c r="I1731" s="84">
        <f>ROUND(I1729,-1)</f>
        <v>7340</v>
      </c>
      <c r="J1731" s="95"/>
    </row>
    <row r="1732" spans="1:10" ht="13" x14ac:dyDescent="0.3">
      <c r="A1732" s="91"/>
      <c r="B1732" s="74"/>
      <c r="C1732" s="74"/>
      <c r="D1732" s="74"/>
      <c r="E1732" s="74"/>
      <c r="F1732" s="74"/>
      <c r="G1732" s="74"/>
      <c r="H1732" s="76"/>
      <c r="I1732" s="76"/>
      <c r="J1732" s="95"/>
    </row>
    <row r="1733" spans="1:10" ht="13" x14ac:dyDescent="0.3">
      <c r="A1733" s="91"/>
      <c r="B1733" s="74"/>
      <c r="C1733" s="74"/>
      <c r="D1733" s="74"/>
      <c r="E1733" s="74"/>
      <c r="F1733" s="74"/>
      <c r="G1733" s="74"/>
      <c r="H1733" s="112">
        <v>0</v>
      </c>
      <c r="I1733" s="112">
        <f>(I1731-H1731)/H1731</f>
        <v>-6.2579821200510852E-2</v>
      </c>
      <c r="J1733" s="95"/>
    </row>
    <row r="1734" spans="1:10" ht="13" x14ac:dyDescent="0.3">
      <c r="A1734" s="91"/>
      <c r="B1734" s="74"/>
      <c r="C1734" s="74"/>
      <c r="D1734" s="74"/>
      <c r="E1734" s="74"/>
      <c r="F1734" s="74"/>
      <c r="G1734" s="74"/>
      <c r="H1734" s="112"/>
      <c r="I1734" s="112"/>
      <c r="J1734" s="95"/>
    </row>
    <row r="1735" spans="1:10" ht="13" x14ac:dyDescent="0.3">
      <c r="A1735" s="91"/>
      <c r="B1735" s="943" t="s">
        <v>487</v>
      </c>
      <c r="C1735" s="944"/>
      <c r="D1735" s="944"/>
      <c r="E1735" s="944"/>
      <c r="F1735" s="944"/>
      <c r="G1735" s="945"/>
      <c r="H1735" s="84"/>
      <c r="I1735" s="84"/>
      <c r="J1735" s="95"/>
    </row>
    <row r="1736" spans="1:10" ht="13" x14ac:dyDescent="0.3">
      <c r="A1736" s="91"/>
      <c r="B1736" s="74"/>
      <c r="C1736" s="74"/>
      <c r="D1736" s="74"/>
      <c r="E1736" s="74"/>
      <c r="F1736" s="74"/>
      <c r="G1736" s="74"/>
      <c r="H1736" s="84"/>
      <c r="I1736" s="84"/>
      <c r="J1736" s="95"/>
    </row>
    <row r="1737" spans="1:10" ht="13" x14ac:dyDescent="0.3">
      <c r="A1737" s="91"/>
      <c r="B1737" s="74"/>
      <c r="C1737" s="74"/>
      <c r="D1737" s="74"/>
      <c r="E1737" s="74"/>
      <c r="F1737" s="74"/>
      <c r="G1737" s="74"/>
      <c r="H1737" s="84"/>
      <c r="I1737" s="84"/>
      <c r="J1737" s="95"/>
    </row>
    <row r="1738" spans="1:10" ht="13" x14ac:dyDescent="0.3">
      <c r="A1738" s="91"/>
      <c r="B1738" s="104" t="s">
        <v>424</v>
      </c>
      <c r="C1738" s="74"/>
      <c r="D1738" s="74"/>
      <c r="E1738" s="74"/>
      <c r="F1738" s="74"/>
      <c r="G1738" s="74"/>
      <c r="H1738" s="103" t="s">
        <v>451</v>
      </c>
      <c r="I1738" s="103" t="str">
        <f>+'Unit tariffs'!$F$11</f>
        <v>2026/2027</v>
      </c>
      <c r="J1738" s="95"/>
    </row>
    <row r="1739" spans="1:10" ht="13" x14ac:dyDescent="0.3">
      <c r="A1739" s="91"/>
      <c r="B1739" s="104"/>
      <c r="C1739" s="74"/>
      <c r="D1739" s="74"/>
      <c r="E1739" s="74"/>
      <c r="F1739" s="74"/>
      <c r="G1739" s="74"/>
      <c r="H1739" s="74"/>
      <c r="I1739" s="74"/>
      <c r="J1739" s="95"/>
    </row>
    <row r="1740" spans="1:10" ht="13" x14ac:dyDescent="0.3">
      <c r="A1740" s="91"/>
      <c r="C1740" s="74" t="s">
        <v>414</v>
      </c>
      <c r="D1740">
        <v>13.8</v>
      </c>
      <c r="E1740" s="74" t="s">
        <v>415</v>
      </c>
      <c r="F1740" s="74"/>
      <c r="G1740" s="74"/>
      <c r="H1740" s="84"/>
      <c r="I1740" s="84"/>
      <c r="J1740" s="95"/>
    </row>
    <row r="1741" spans="1:10" ht="13" x14ac:dyDescent="0.3">
      <c r="A1741" s="91"/>
      <c r="B1741" s="74"/>
      <c r="C1741" s="74" t="s">
        <v>423</v>
      </c>
      <c r="D1741" s="1">
        <v>3</v>
      </c>
      <c r="E1741" s="74" t="s">
        <v>415</v>
      </c>
      <c r="F1741" s="74" t="s">
        <v>416</v>
      </c>
      <c r="G1741" s="74"/>
      <c r="H1741" s="84"/>
      <c r="I1741" s="84"/>
      <c r="J1741" s="95"/>
    </row>
    <row r="1742" spans="1:10" ht="13" x14ac:dyDescent="0.3">
      <c r="A1742" s="91"/>
      <c r="B1742" s="74"/>
      <c r="C1742" s="74" t="s">
        <v>115</v>
      </c>
      <c r="D1742" s="590">
        <f>+F1742</f>
        <v>0</v>
      </c>
      <c r="E1742" s="74" t="s">
        <v>417</v>
      </c>
      <c r="F1742" s="74">
        <v>0</v>
      </c>
      <c r="G1742" s="74"/>
      <c r="H1742" s="84"/>
      <c r="I1742" s="84"/>
      <c r="J1742" s="95"/>
    </row>
    <row r="1743" spans="1:10" ht="13" x14ac:dyDescent="0.3">
      <c r="A1743" s="91"/>
      <c r="B1743" s="74"/>
      <c r="C1743" s="74" t="s">
        <v>418</v>
      </c>
      <c r="D1743" s="594">
        <f>(F1743*D1741)</f>
        <v>0</v>
      </c>
      <c r="E1743" s="74" t="s">
        <v>417</v>
      </c>
      <c r="F1743" s="74">
        <v>0</v>
      </c>
      <c r="G1743" s="74" t="s">
        <v>419</v>
      </c>
      <c r="H1743" s="84"/>
      <c r="I1743" s="84"/>
      <c r="J1743" s="95"/>
    </row>
    <row r="1744" spans="1:10" ht="13" x14ac:dyDescent="0.3">
      <c r="A1744" s="91"/>
      <c r="B1744" s="74"/>
      <c r="C1744" s="74" t="s">
        <v>420</v>
      </c>
      <c r="D1744" s="190">
        <f>(D1741*31*24*0.33*F1744)</f>
        <v>1230.0583739843521</v>
      </c>
      <c r="E1744" s="74" t="s">
        <v>417</v>
      </c>
      <c r="F1744" s="186">
        <f>+'Unit tariffs'!$F$163</f>
        <v>1.6700043092000001</v>
      </c>
      <c r="G1744" s="74" t="s">
        <v>421</v>
      </c>
      <c r="H1744" s="84"/>
      <c r="I1744" s="84"/>
      <c r="J1744" s="95"/>
    </row>
    <row r="1745" spans="1:10" ht="13" x14ac:dyDescent="0.3">
      <c r="A1745" s="91"/>
      <c r="B1745" s="74"/>
      <c r="C1745" s="74" t="s">
        <v>422</v>
      </c>
      <c r="D1745" s="595">
        <f>D1744+D1743+D1742</f>
        <v>1230.0583739843521</v>
      </c>
      <c r="E1745" s="74"/>
      <c r="F1745" s="74"/>
      <c r="G1745" s="74"/>
      <c r="H1745" s="84"/>
      <c r="I1745" s="84"/>
      <c r="J1745" s="95"/>
    </row>
    <row r="1746" spans="1:10" ht="13" x14ac:dyDescent="0.3">
      <c r="A1746" s="91"/>
      <c r="B1746" s="74"/>
      <c r="C1746" s="74"/>
      <c r="D1746" s="596"/>
      <c r="E1746" s="74"/>
      <c r="F1746" s="74"/>
      <c r="G1746" s="74"/>
      <c r="H1746" s="84"/>
      <c r="I1746" s="84"/>
      <c r="J1746" s="95"/>
    </row>
    <row r="1747" spans="1:10" ht="13" x14ac:dyDescent="0.3">
      <c r="A1747" s="91"/>
      <c r="B1747" s="104" t="s">
        <v>425</v>
      </c>
      <c r="D1747" s="104">
        <v>5</v>
      </c>
      <c r="E1747" s="74"/>
      <c r="F1747" s="74"/>
      <c r="G1747" s="74"/>
      <c r="H1747" s="587">
        <v>6150.2918699217607</v>
      </c>
      <c r="I1747" s="587">
        <f>+D1745*D1747</f>
        <v>6150.2918699217607</v>
      </c>
      <c r="J1747" s="95"/>
    </row>
    <row r="1748" spans="1:10" ht="13" x14ac:dyDescent="0.3">
      <c r="A1748" s="91"/>
      <c r="B1748" s="74"/>
      <c r="C1748" s="74"/>
      <c r="D1748" s="74"/>
      <c r="E1748" s="74"/>
      <c r="F1748" s="74"/>
      <c r="G1748" s="74"/>
      <c r="H1748" s="597"/>
      <c r="I1748" s="597"/>
      <c r="J1748" s="95"/>
    </row>
    <row r="1749" spans="1:10" ht="13" x14ac:dyDescent="0.3">
      <c r="A1749" s="91"/>
      <c r="B1749" s="74"/>
      <c r="C1749" s="74"/>
      <c r="D1749" s="74"/>
      <c r="E1749" s="74"/>
      <c r="F1749" s="128"/>
      <c r="G1749" s="633" t="s">
        <v>435</v>
      </c>
      <c r="H1749" s="587">
        <v>6200</v>
      </c>
      <c r="I1749" s="587">
        <f>+ROUND(I1747,-2)</f>
        <v>6200</v>
      </c>
      <c r="J1749" s="95"/>
    </row>
    <row r="1750" spans="1:10" ht="13" x14ac:dyDescent="0.3">
      <c r="A1750" s="91"/>
      <c r="B1750" s="74"/>
      <c r="C1750" s="74"/>
      <c r="D1750" s="74"/>
      <c r="E1750" s="74"/>
      <c r="F1750" s="128"/>
      <c r="G1750" s="74"/>
      <c r="H1750" s="587"/>
      <c r="I1750" s="587"/>
      <c r="J1750" s="95"/>
    </row>
    <row r="1751" spans="1:10" ht="13" x14ac:dyDescent="0.3">
      <c r="A1751" s="91"/>
      <c r="B1751" s="74"/>
      <c r="C1751" s="74"/>
      <c r="D1751" s="74"/>
      <c r="E1751" s="74"/>
      <c r="F1751" s="128"/>
      <c r="G1751" s="74"/>
      <c r="H1751" s="598">
        <v>0</v>
      </c>
      <c r="I1751" s="598">
        <f>+(I1749-H1749)/H1749</f>
        <v>0</v>
      </c>
      <c r="J1751" s="95"/>
    </row>
    <row r="1752" spans="1:10" ht="13" x14ac:dyDescent="0.3">
      <c r="A1752" s="91"/>
      <c r="B1752" s="74"/>
      <c r="C1752" s="74"/>
      <c r="D1752" s="74"/>
      <c r="E1752" s="74"/>
      <c r="F1752" s="74"/>
      <c r="G1752" s="74"/>
      <c r="H1752" s="84"/>
      <c r="I1752" s="84"/>
      <c r="J1752" s="95"/>
    </row>
    <row r="1753" spans="1:10" ht="33.75" customHeight="1" x14ac:dyDescent="0.3">
      <c r="A1753" s="91"/>
      <c r="B1753" s="943" t="s">
        <v>488</v>
      </c>
      <c r="C1753" s="944"/>
      <c r="D1753" s="944"/>
      <c r="E1753" s="944"/>
      <c r="F1753" s="944"/>
      <c r="G1753" s="945"/>
      <c r="H1753" s="588"/>
      <c r="I1753" s="588"/>
      <c r="J1753" s="95"/>
    </row>
    <row r="1754" spans="1:10" ht="13" x14ac:dyDescent="0.3">
      <c r="A1754" s="91"/>
      <c r="B1754" s="74"/>
      <c r="C1754" s="74"/>
      <c r="D1754" s="74"/>
      <c r="E1754" s="74"/>
      <c r="F1754" s="74"/>
      <c r="G1754" s="74"/>
      <c r="H1754" s="588"/>
      <c r="I1754" s="588"/>
      <c r="J1754" s="95"/>
    </row>
    <row r="1755" spans="1:10" ht="13" x14ac:dyDescent="0.3">
      <c r="A1755" s="91"/>
      <c r="B1755" s="104" t="s">
        <v>424</v>
      </c>
      <c r="C1755" s="74"/>
      <c r="D1755" s="74"/>
      <c r="E1755" s="74"/>
      <c r="F1755" s="74"/>
      <c r="G1755" s="74"/>
      <c r="H1755" s="103" t="s">
        <v>451</v>
      </c>
      <c r="I1755" s="103" t="str">
        <f>+'Unit tariffs'!$F$11</f>
        <v>2026/2027</v>
      </c>
      <c r="J1755" s="95"/>
    </row>
    <row r="1756" spans="1:10" ht="13" x14ac:dyDescent="0.3">
      <c r="A1756" s="91"/>
      <c r="B1756" s="104"/>
      <c r="C1756" s="74"/>
      <c r="D1756" s="74"/>
      <c r="E1756" s="74"/>
      <c r="F1756" s="74"/>
      <c r="G1756" s="74"/>
      <c r="H1756" s="74"/>
      <c r="I1756" s="74"/>
      <c r="J1756" s="95"/>
    </row>
    <row r="1757" spans="1:10" ht="13" x14ac:dyDescent="0.3">
      <c r="A1757" s="91"/>
      <c r="C1757" s="74" t="s">
        <v>414</v>
      </c>
      <c r="D1757">
        <v>13.8</v>
      </c>
      <c r="E1757" s="74" t="s">
        <v>415</v>
      </c>
      <c r="F1757" s="74"/>
      <c r="G1757" s="74"/>
      <c r="H1757" s="84"/>
      <c r="I1757" s="84"/>
      <c r="J1757" s="95"/>
    </row>
    <row r="1758" spans="1:10" ht="13" x14ac:dyDescent="0.3">
      <c r="A1758" s="91"/>
      <c r="B1758" s="74"/>
      <c r="C1758" s="74" t="s">
        <v>423</v>
      </c>
      <c r="D1758" s="1">
        <v>4.5</v>
      </c>
      <c r="E1758" s="74" t="s">
        <v>415</v>
      </c>
      <c r="F1758" s="74" t="s">
        <v>416</v>
      </c>
      <c r="G1758" s="74"/>
      <c r="H1758" s="84"/>
      <c r="I1758" s="84"/>
      <c r="J1758" s="95"/>
    </row>
    <row r="1759" spans="1:10" ht="13" x14ac:dyDescent="0.3">
      <c r="A1759" s="91"/>
      <c r="B1759" s="74"/>
      <c r="C1759" s="74" t="s">
        <v>115</v>
      </c>
      <c r="D1759" s="590">
        <f>+F1759</f>
        <v>0</v>
      </c>
      <c r="E1759" s="74" t="s">
        <v>417</v>
      </c>
      <c r="F1759" s="74">
        <v>0</v>
      </c>
      <c r="G1759" s="74"/>
      <c r="H1759" s="84"/>
      <c r="I1759" s="84"/>
      <c r="J1759" s="95"/>
    </row>
    <row r="1760" spans="1:10" ht="13" x14ac:dyDescent="0.3">
      <c r="A1760" s="91"/>
      <c r="B1760" s="74"/>
      <c r="C1760" s="74" t="s">
        <v>418</v>
      </c>
      <c r="D1760" s="594">
        <f>(F1760*D1758)</f>
        <v>0</v>
      </c>
      <c r="E1760" s="74" t="s">
        <v>417</v>
      </c>
      <c r="F1760" s="74">
        <v>0</v>
      </c>
      <c r="G1760" s="74" t="s">
        <v>419</v>
      </c>
      <c r="H1760" s="84"/>
      <c r="I1760" s="84"/>
      <c r="J1760" s="95"/>
    </row>
    <row r="1761" spans="1:11" ht="13" x14ac:dyDescent="0.3">
      <c r="A1761" s="91"/>
      <c r="B1761" s="74"/>
      <c r="C1761" s="74" t="s">
        <v>420</v>
      </c>
      <c r="D1761" s="190">
        <f>(D1758*31*24*0.33*F1761)</f>
        <v>1845.0875609765283</v>
      </c>
      <c r="E1761" s="74" t="s">
        <v>417</v>
      </c>
      <c r="F1761" s="186">
        <f>+'Unit tariffs'!$F$163</f>
        <v>1.6700043092000001</v>
      </c>
      <c r="G1761" s="74" t="s">
        <v>421</v>
      </c>
      <c r="H1761" s="84"/>
      <c r="I1761" s="84"/>
      <c r="J1761" s="95"/>
    </row>
    <row r="1762" spans="1:11" ht="13" x14ac:dyDescent="0.3">
      <c r="A1762" s="91"/>
      <c r="B1762" s="74"/>
      <c r="C1762" s="74" t="s">
        <v>422</v>
      </c>
      <c r="D1762" s="595">
        <f>D1761+D1760+D1759</f>
        <v>1845.0875609765283</v>
      </c>
      <c r="E1762" s="74"/>
      <c r="F1762" s="74"/>
      <c r="G1762" s="74"/>
      <c r="H1762" s="84"/>
      <c r="I1762" s="84"/>
      <c r="J1762" s="95"/>
    </row>
    <row r="1763" spans="1:11" ht="17.399999999999999" customHeight="1" x14ac:dyDescent="0.3">
      <c r="A1763" s="91"/>
      <c r="B1763" s="74"/>
      <c r="C1763" s="74"/>
      <c r="D1763" s="74"/>
      <c r="E1763" s="74"/>
      <c r="F1763" s="74"/>
      <c r="G1763" s="74"/>
      <c r="H1763" s="588"/>
      <c r="I1763" s="588"/>
      <c r="J1763" s="95"/>
    </row>
    <row r="1764" spans="1:11" ht="17.399999999999999" customHeight="1" x14ac:dyDescent="0.3">
      <c r="A1764" s="91"/>
      <c r="B1764" s="104" t="s">
        <v>425</v>
      </c>
      <c r="D1764" s="104">
        <v>5</v>
      </c>
      <c r="E1764" s="74"/>
      <c r="F1764" s="74"/>
      <c r="G1764" s="74"/>
      <c r="H1764" s="587">
        <v>9225.437804882642</v>
      </c>
      <c r="I1764" s="587">
        <f>+D1762*D1764</f>
        <v>9225.437804882642</v>
      </c>
      <c r="J1764" s="95"/>
      <c r="K1764" s="589"/>
    </row>
    <row r="1765" spans="1:11" ht="17.399999999999999" customHeight="1" x14ac:dyDescent="0.3">
      <c r="A1765" s="91"/>
      <c r="C1765" s="74"/>
      <c r="D1765" s="104"/>
      <c r="E1765" s="74"/>
      <c r="F1765" s="74"/>
      <c r="G1765" s="74"/>
      <c r="H1765" s="587"/>
      <c r="I1765" s="587"/>
      <c r="J1765" s="95"/>
    </row>
    <row r="1766" spans="1:11" ht="17.399999999999999" customHeight="1" x14ac:dyDescent="0.3">
      <c r="A1766" s="91"/>
      <c r="B1766" s="74"/>
      <c r="C1766" s="74"/>
      <c r="D1766" s="74"/>
      <c r="E1766" s="74"/>
      <c r="F1766" s="74"/>
      <c r="G1766" s="633" t="s">
        <v>435</v>
      </c>
      <c r="H1766" s="587">
        <v>9200</v>
      </c>
      <c r="I1766" s="587">
        <f>+ROUND(I1764,-2)</f>
        <v>9200</v>
      </c>
      <c r="J1766" s="95"/>
    </row>
    <row r="1767" spans="1:11" ht="17.399999999999999" customHeight="1" x14ac:dyDescent="0.3">
      <c r="A1767" s="91"/>
      <c r="B1767" s="74"/>
      <c r="C1767" s="74"/>
      <c r="D1767" s="74"/>
      <c r="E1767" s="74"/>
      <c r="F1767" s="74"/>
      <c r="G1767" s="74"/>
      <c r="H1767" s="587"/>
      <c r="I1767" s="587"/>
      <c r="J1767" s="95"/>
    </row>
    <row r="1768" spans="1:11" ht="13.5" thickBot="1" x14ac:dyDescent="0.35">
      <c r="A1768" s="448"/>
      <c r="B1768" s="123"/>
      <c r="C1768" s="123"/>
      <c r="D1768" s="123"/>
      <c r="E1768" s="123"/>
      <c r="F1768" s="123"/>
      <c r="G1768" s="74"/>
      <c r="H1768" s="598">
        <v>0</v>
      </c>
      <c r="I1768" s="598">
        <f>+(I1766-H1766)/H1766</f>
        <v>0</v>
      </c>
      <c r="J1768" s="450"/>
    </row>
    <row r="1769" spans="1:11" ht="14" thickTop="1" thickBot="1" x14ac:dyDescent="0.35">
      <c r="A1769" s="91"/>
      <c r="B1769" s="74"/>
      <c r="C1769" s="74"/>
      <c r="D1769" s="74"/>
      <c r="E1769" s="74"/>
      <c r="F1769" s="74"/>
      <c r="G1769" s="74"/>
      <c r="H1769" s="74"/>
      <c r="I1769" s="74"/>
      <c r="J1769" s="95"/>
    </row>
    <row r="1770" spans="1:11" ht="13.5" thickTop="1" x14ac:dyDescent="0.3">
      <c r="A1770" s="445"/>
      <c r="B1770" s="120" t="s">
        <v>1</v>
      </c>
      <c r="C1770" s="120"/>
      <c r="D1770" s="120"/>
      <c r="E1770" s="120"/>
      <c r="F1770" s="120"/>
      <c r="G1770" s="120"/>
      <c r="H1770" s="120"/>
      <c r="I1770" s="120"/>
      <c r="J1770" s="95"/>
    </row>
    <row r="1771" spans="1:11" ht="13" x14ac:dyDescent="0.3">
      <c r="A1771" s="91"/>
      <c r="B1771" s="96" t="s">
        <v>489</v>
      </c>
      <c r="C1771" s="97"/>
      <c r="D1771" s="97"/>
      <c r="E1771" s="97"/>
      <c r="F1771" s="97"/>
      <c r="G1771" s="97"/>
      <c r="H1771" s="74"/>
      <c r="I1771" s="74"/>
      <c r="J1771" s="95"/>
    </row>
    <row r="1772" spans="1:11" ht="13" x14ac:dyDescent="0.3">
      <c r="A1772" s="91"/>
      <c r="B1772" s="149" t="s">
        <v>315</v>
      </c>
      <c r="C1772" s="100"/>
      <c r="D1772" s="100"/>
      <c r="E1772" s="100"/>
      <c r="F1772" s="100"/>
      <c r="G1772" s="100"/>
      <c r="H1772" s="74"/>
      <c r="I1772" s="74"/>
      <c r="J1772" s="105"/>
    </row>
    <row r="1773" spans="1:11" ht="13" x14ac:dyDescent="0.3">
      <c r="A1773" s="91"/>
      <c r="B1773" s="104"/>
      <c r="C1773" s="74"/>
      <c r="D1773" s="74"/>
      <c r="E1773" s="74"/>
      <c r="F1773" s="74"/>
      <c r="G1773" s="74"/>
      <c r="H1773" s="74"/>
      <c r="I1773" s="74"/>
      <c r="J1773" s="105"/>
    </row>
    <row r="1774" spans="1:11" ht="13" x14ac:dyDescent="0.3">
      <c r="A1774" s="91"/>
      <c r="B1774" s="74"/>
      <c r="C1774" s="74"/>
      <c r="D1774" s="74"/>
      <c r="E1774" s="74"/>
      <c r="F1774" s="74"/>
      <c r="G1774" s="74"/>
      <c r="H1774" s="103" t="s">
        <v>451</v>
      </c>
      <c r="I1774" s="103" t="str">
        <f>+'Unit tariffs'!$F$11</f>
        <v>2026/2027</v>
      </c>
      <c r="J1774" s="105"/>
    </row>
    <row r="1775" spans="1:11" ht="13" x14ac:dyDescent="0.3">
      <c r="A1775" s="91"/>
      <c r="B1775" s="104" t="s">
        <v>41</v>
      </c>
      <c r="C1775" s="74"/>
      <c r="D1775" s="74"/>
      <c r="E1775" s="74"/>
      <c r="F1775" s="74"/>
      <c r="G1775" s="74"/>
      <c r="H1775" s="74"/>
      <c r="I1775" s="74"/>
      <c r="J1775" s="95"/>
    </row>
    <row r="1776" spans="1:11" ht="13" x14ac:dyDescent="0.3">
      <c r="A1776" s="91"/>
      <c r="B1776" s="74"/>
      <c r="C1776" s="74"/>
      <c r="D1776" s="74"/>
      <c r="E1776" s="74"/>
      <c r="F1776" s="74"/>
      <c r="G1776" s="74"/>
      <c r="H1776" s="74"/>
      <c r="I1776" s="74"/>
      <c r="J1776" s="444" t="s">
        <v>313</v>
      </c>
    </row>
    <row r="1777" spans="1:10" ht="13" x14ac:dyDescent="0.3">
      <c r="A1777" s="91"/>
      <c r="B1777" s="74">
        <v>1</v>
      </c>
      <c r="C1777" s="74" t="str">
        <f>'Unit tariffs'!B36</f>
        <v xml:space="preserve">Prepaid meter (Split) 3 phase - </v>
      </c>
      <c r="D1777" s="74"/>
      <c r="E1777" s="74"/>
      <c r="F1777" s="74"/>
      <c r="G1777" s="74"/>
      <c r="H1777" s="189">
        <v>7323.5537155157153</v>
      </c>
      <c r="I1777" s="189">
        <f>VLOOKUP($C1777,'Unit tariffs'!$B$21:$F$123,5,FALSE)*$B1777</f>
        <v>0</v>
      </c>
      <c r="J1777" s="447" t="e">
        <f>IF(+I1777*'Unit tariffs'!#REF!&gt;'Unit tariffs'!#REF!,'Unit tariffs'!#REF!,+I1777*'Unit tariffs'!#REF!)</f>
        <v>#REF!</v>
      </c>
    </row>
    <row r="1778" spans="1:10" ht="13" x14ac:dyDescent="0.3">
      <c r="A1778" s="91"/>
      <c r="B1778" s="74">
        <v>1</v>
      </c>
      <c r="C1778" s="74" t="str">
        <f>+'Unit tariffs'!B58</f>
        <v>Cable joint for 16mm x 4 core cable</v>
      </c>
      <c r="D1778" s="74"/>
      <c r="E1778" s="74"/>
      <c r="F1778" s="74"/>
      <c r="G1778" s="74"/>
      <c r="H1778" s="76">
        <v>1324.8709480800003</v>
      </c>
      <c r="I1778" s="76">
        <f>VLOOKUP($C1778,'Unit tariffs'!$B$21:$F$123,5,FALSE)*$B1778</f>
        <v>0</v>
      </c>
      <c r="J1778" s="447" t="e">
        <f>IF(+I1778*'Unit tariffs'!#REF!&gt;'Unit tariffs'!#REF!,'Unit tariffs'!#REF!,+I1778*'Unit tariffs'!#REF!)</f>
        <v>#REF!</v>
      </c>
    </row>
    <row r="1779" spans="1:10" ht="13" x14ac:dyDescent="0.3">
      <c r="A1779" s="91"/>
      <c r="B1779" s="74">
        <v>2</v>
      </c>
      <c r="C1779" s="74" t="str">
        <f>'Unit tariffs'!B21</f>
        <v>Installation material</v>
      </c>
      <c r="D1779" s="74"/>
      <c r="E1779" s="74"/>
      <c r="F1779" s="74"/>
      <c r="G1779" s="74"/>
      <c r="H1779" s="81">
        <v>542.88200000000006</v>
      </c>
      <c r="I1779" s="81">
        <f>VLOOKUP($C1779,'Unit tariffs'!$B$21:$F$123,5,FALSE)*$B1779</f>
        <v>564.9665</v>
      </c>
      <c r="J1779" s="447" t="e">
        <f>IF(+I1779*'Unit tariffs'!#REF!&gt;'Unit tariffs'!#REF!,'Unit tariffs'!#REF!,+I1779*'Unit tariffs'!#REF!)</f>
        <v>#REF!</v>
      </c>
    </row>
    <row r="1780" spans="1:10" ht="13" x14ac:dyDescent="0.3">
      <c r="A1780" s="91"/>
      <c r="B1780" s="74"/>
      <c r="C1780" s="74"/>
      <c r="D1780" s="74"/>
      <c r="E1780" s="74"/>
      <c r="F1780" s="74"/>
      <c r="G1780" s="76"/>
      <c r="H1780" s="76">
        <v>9191.3066635957148</v>
      </c>
      <c r="I1780" s="76">
        <f>SUM(I1777:I1779)</f>
        <v>564.9665</v>
      </c>
      <c r="J1780" s="105"/>
    </row>
    <row r="1781" spans="1:10" ht="13" x14ac:dyDescent="0.3">
      <c r="A1781" s="91"/>
      <c r="B1781" s="104" t="s">
        <v>42</v>
      </c>
      <c r="C1781" s="74"/>
      <c r="D1781" s="74"/>
      <c r="E1781" s="74"/>
      <c r="F1781" s="74"/>
      <c r="G1781" s="74"/>
      <c r="H1781" s="74"/>
      <c r="I1781" s="74"/>
      <c r="J1781" s="105"/>
    </row>
    <row r="1782" spans="1:10" ht="13" x14ac:dyDescent="0.3">
      <c r="A1782" s="91"/>
      <c r="B1782" s="74"/>
      <c r="C1782" s="74"/>
      <c r="D1782" s="74"/>
      <c r="E1782" s="74"/>
      <c r="F1782" s="74"/>
      <c r="G1782" s="74"/>
      <c r="H1782" s="74"/>
      <c r="I1782" s="74"/>
      <c r="J1782" s="95"/>
    </row>
    <row r="1783" spans="1:10" ht="13" x14ac:dyDescent="0.3">
      <c r="A1783" s="91"/>
      <c r="B1783" s="74">
        <v>5</v>
      </c>
      <c r="C1783" s="74" t="str">
        <f>'Unit tariffs'!B$87</f>
        <v xml:space="preserve">hour-artisan </v>
      </c>
      <c r="D1783" s="74"/>
      <c r="E1783" s="74"/>
      <c r="F1783" s="74"/>
      <c r="G1783" s="74"/>
      <c r="H1783" s="76">
        <v>1614.2611586538462</v>
      </c>
      <c r="I1783" s="76">
        <f>VLOOKUP($C1783,'Unit tariffs'!$B$21:$F$123,5,FALSE)*$B1783</f>
        <v>1755.963830769231</v>
      </c>
      <c r="J1783" s="110"/>
    </row>
    <row r="1784" spans="1:10" ht="13" x14ac:dyDescent="0.3">
      <c r="A1784" s="91"/>
      <c r="B1784" s="74">
        <f>+B1783</f>
        <v>5</v>
      </c>
      <c r="C1784" s="74" t="str">
        <f>'Unit tariffs'!B$85</f>
        <v>hour-artisan assistant</v>
      </c>
      <c r="D1784" s="74"/>
      <c r="E1784" s="74"/>
      <c r="F1784" s="74"/>
      <c r="G1784" s="74"/>
      <c r="H1784" s="81">
        <v>642.67903846153854</v>
      </c>
      <c r="I1784" s="81">
        <f>VLOOKUP($C1784,'Unit tariffs'!$B$21:$F$123,5,FALSE)*$B1784</f>
        <v>699.12129230769233</v>
      </c>
      <c r="J1784" s="105"/>
    </row>
    <row r="1785" spans="1:10" ht="13" x14ac:dyDescent="0.3">
      <c r="A1785" s="91"/>
      <c r="B1785" s="74"/>
      <c r="C1785" s="74"/>
      <c r="D1785" s="74"/>
      <c r="E1785" s="74"/>
      <c r="F1785" s="74"/>
      <c r="G1785" s="74"/>
      <c r="H1785" s="76">
        <v>2256.9401971153848</v>
      </c>
      <c r="I1785" s="76">
        <f>SUM(I1783:I1784)</f>
        <v>2455.0851230769231</v>
      </c>
      <c r="J1785" s="113"/>
    </row>
    <row r="1786" spans="1:10" ht="13" x14ac:dyDescent="0.3">
      <c r="A1786" s="91"/>
      <c r="B1786" s="104" t="s">
        <v>43</v>
      </c>
      <c r="C1786" s="74"/>
      <c r="D1786" s="74"/>
      <c r="E1786" s="74"/>
      <c r="F1786" s="74"/>
      <c r="G1786" s="74"/>
      <c r="H1786" s="74"/>
      <c r="I1786" s="74"/>
      <c r="J1786" s="95"/>
    </row>
    <row r="1787" spans="1:10" ht="13" x14ac:dyDescent="0.3">
      <c r="A1787" s="91"/>
      <c r="B1787" s="74"/>
      <c r="C1787" s="74"/>
      <c r="D1787" s="74"/>
      <c r="E1787" s="74"/>
      <c r="F1787" s="74"/>
      <c r="G1787" s="74"/>
      <c r="H1787" s="74"/>
      <c r="I1787" s="74"/>
      <c r="J1787" s="95"/>
    </row>
    <row r="1788" spans="1:10" ht="13" x14ac:dyDescent="0.3">
      <c r="A1788" s="91"/>
      <c r="B1788" s="74">
        <v>24</v>
      </c>
      <c r="C1788" s="74" t="str">
        <f>'Unit tariffs'!B$111</f>
        <v>km-truck with platform</v>
      </c>
      <c r="D1788" s="74"/>
      <c r="E1788" s="74"/>
      <c r="F1788" s="74"/>
      <c r="G1788" s="74"/>
      <c r="H1788" s="76">
        <v>1010.8920834182238</v>
      </c>
      <c r="I1788" s="76">
        <f>VLOOKUP($C1788,'Unit tariffs'!$B$21:$F$123,5,FALSE)*$B1788</f>
        <v>1182.7997218118533</v>
      </c>
      <c r="J1788" s="95"/>
    </row>
    <row r="1789" spans="1:10" ht="13" x14ac:dyDescent="0.3">
      <c r="A1789" s="91"/>
      <c r="B1789" s="74">
        <v>4</v>
      </c>
      <c r="C1789" s="74" t="str">
        <f>'Unit tariffs'!B$112</f>
        <v>hour-truck with platform</v>
      </c>
      <c r="D1789" s="74"/>
      <c r="E1789" s="74"/>
      <c r="F1789" s="74"/>
      <c r="G1789" s="74"/>
      <c r="H1789" s="76">
        <v>819.93766924669251</v>
      </c>
      <c r="I1789" s="76">
        <f>VLOOKUP($C1789,'Unit tariffs'!$B$21:$F$123,5,FALSE)*$B1789</f>
        <v>959.37248198511679</v>
      </c>
      <c r="J1789" s="95"/>
    </row>
    <row r="1790" spans="1:10" ht="13" x14ac:dyDescent="0.3">
      <c r="A1790" s="91"/>
      <c r="B1790" s="74"/>
      <c r="C1790" s="74"/>
      <c r="D1790" s="74"/>
      <c r="E1790" s="74"/>
      <c r="F1790" s="74"/>
      <c r="G1790" s="74"/>
      <c r="H1790" s="137">
        <v>1830.8297526649162</v>
      </c>
      <c r="I1790" s="137">
        <f>SUM(I1788:I1789)</f>
        <v>2142.1722037969703</v>
      </c>
      <c r="J1790" s="95"/>
    </row>
    <row r="1791" spans="1:10" ht="13.5" thickBot="1" x14ac:dyDescent="0.35">
      <c r="A1791" s="91"/>
      <c r="B1791" s="104"/>
      <c r="C1791" s="74"/>
      <c r="D1791" s="106"/>
      <c r="E1791" s="74"/>
      <c r="F1791" s="74"/>
      <c r="G1791" s="74"/>
      <c r="H1791" s="108"/>
      <c r="I1791" s="108"/>
      <c r="J1791" s="95"/>
    </row>
    <row r="1792" spans="1:10" ht="13.5" thickTop="1" x14ac:dyDescent="0.3">
      <c r="A1792" s="91"/>
      <c r="B1792" s="74"/>
      <c r="C1792" s="74"/>
      <c r="D1792" s="74"/>
      <c r="E1792" s="74"/>
      <c r="F1792" s="74"/>
      <c r="G1792" s="76"/>
      <c r="H1792" s="76">
        <v>13279.076613376015</v>
      </c>
      <c r="I1792" s="76">
        <f>I1790+I1785+I1780</f>
        <v>5162.2238268738929</v>
      </c>
      <c r="J1792" s="95"/>
    </row>
    <row r="1793" spans="1:10" ht="13.5" thickBot="1" x14ac:dyDescent="0.35">
      <c r="A1793" s="91"/>
      <c r="B1793" s="104" t="str">
        <f>'Unit tariffs'!$B$7</f>
        <v>Administration Levy (Indirect Cost)</v>
      </c>
      <c r="C1793" s="74"/>
      <c r="D1793" s="106">
        <f>'Unit tariffs'!$C$7</f>
        <v>0.1</v>
      </c>
      <c r="E1793" s="74" t="s">
        <v>311</v>
      </c>
      <c r="F1793" s="186">
        <f>+'Unit tariffs'!$F$7</f>
        <v>10000</v>
      </c>
      <c r="G1793" s="76"/>
      <c r="H1793" s="108">
        <v>1327.9076613376017</v>
      </c>
      <c r="I1793" s="108">
        <f>IF(I1792*$D1793&gt;='Unit tariffs'!$E$7,'Unit tariffs'!$E$7,I1792*$D1793)</f>
        <v>516.22238268738931</v>
      </c>
      <c r="J1793" s="450"/>
    </row>
    <row r="1794" spans="1:10" ht="13.5" thickTop="1" x14ac:dyDescent="0.3">
      <c r="A1794" s="91"/>
      <c r="B1794" s="104" t="s">
        <v>44</v>
      </c>
      <c r="C1794" s="74"/>
      <c r="D1794" s="74"/>
      <c r="E1794" s="74"/>
      <c r="F1794" s="74"/>
      <c r="G1794" s="76"/>
      <c r="H1794" s="109">
        <v>14606.984274713617</v>
      </c>
      <c r="I1794" s="109">
        <f>SUM(I1792:I1793)</f>
        <v>5678.4462095612826</v>
      </c>
      <c r="J1794" s="450"/>
    </row>
    <row r="1795" spans="1:10" ht="13" x14ac:dyDescent="0.3">
      <c r="A1795" s="91"/>
      <c r="B1795" s="74"/>
      <c r="C1795" s="74"/>
      <c r="D1795" s="74"/>
      <c r="E1795" s="74"/>
      <c r="F1795" s="74"/>
      <c r="G1795" s="74"/>
      <c r="H1795" s="74"/>
      <c r="I1795" s="74"/>
      <c r="J1795" s="105"/>
    </row>
    <row r="1796" spans="1:10" ht="13" x14ac:dyDescent="0.3">
      <c r="A1796" s="91"/>
      <c r="B1796" s="104" t="s">
        <v>45</v>
      </c>
      <c r="C1796" s="74"/>
      <c r="D1796" s="74"/>
      <c r="E1796" s="74"/>
      <c r="F1796" s="74"/>
      <c r="G1796" s="74"/>
      <c r="H1796" s="84">
        <v>14610</v>
      </c>
      <c r="I1796" s="84">
        <f>ROUND(I1794,-1)</f>
        <v>5680</v>
      </c>
      <c r="J1796" s="450"/>
    </row>
    <row r="1797" spans="1:10" ht="13" x14ac:dyDescent="0.3">
      <c r="A1797" s="91"/>
      <c r="B1797" s="74"/>
      <c r="C1797" s="74"/>
      <c r="D1797" s="74"/>
      <c r="E1797" s="74"/>
      <c r="F1797" s="74"/>
      <c r="G1797" s="74"/>
      <c r="H1797" s="76"/>
      <c r="I1797" s="76"/>
      <c r="J1797" s="95"/>
    </row>
    <row r="1798" spans="1:10" ht="13" x14ac:dyDescent="0.3">
      <c r="A1798" s="91"/>
      <c r="B1798" s="74"/>
      <c r="C1798" s="74"/>
      <c r="D1798" s="74"/>
      <c r="E1798" s="74"/>
      <c r="F1798" s="74"/>
      <c r="G1798" s="74"/>
      <c r="H1798" s="112">
        <v>0</v>
      </c>
      <c r="I1798" s="112">
        <f>(I1796-H1796)/H1796</f>
        <v>-0.61122518822724159</v>
      </c>
      <c r="J1798" s="95"/>
    </row>
    <row r="1799" spans="1:10" ht="13" x14ac:dyDescent="0.3">
      <c r="A1799" s="91"/>
      <c r="B1799" s="74"/>
      <c r="C1799" s="74"/>
      <c r="D1799" s="74"/>
      <c r="E1799" s="74"/>
      <c r="F1799" s="74"/>
      <c r="G1799" s="74"/>
      <c r="H1799" s="112"/>
      <c r="I1799" s="112"/>
      <c r="J1799" s="95"/>
    </row>
    <row r="1800" spans="1:10" ht="13.25" customHeight="1" x14ac:dyDescent="0.3">
      <c r="A1800" s="91"/>
      <c r="B1800" s="943" t="s">
        <v>490</v>
      </c>
      <c r="C1800" s="944"/>
      <c r="D1800" s="944"/>
      <c r="E1800" s="944"/>
      <c r="F1800" s="944"/>
      <c r="G1800" s="945"/>
      <c r="H1800" s="84"/>
      <c r="I1800" s="84"/>
      <c r="J1800" s="95"/>
    </row>
    <row r="1801" spans="1:10" ht="13" x14ac:dyDescent="0.3">
      <c r="A1801" s="91"/>
      <c r="B1801" s="74"/>
      <c r="C1801" s="74"/>
      <c r="D1801" s="74"/>
      <c r="E1801" s="74"/>
      <c r="F1801" s="74"/>
      <c r="G1801" s="74"/>
      <c r="H1801" s="84"/>
      <c r="I1801" s="84"/>
      <c r="J1801" s="95"/>
    </row>
    <row r="1802" spans="1:10" ht="13" x14ac:dyDescent="0.3">
      <c r="A1802" s="91"/>
      <c r="B1802" s="104" t="s">
        <v>424</v>
      </c>
      <c r="C1802" s="74"/>
      <c r="D1802" s="74"/>
      <c r="E1802" s="74"/>
      <c r="F1802" s="74"/>
      <c r="G1802" s="74"/>
      <c r="H1802" s="103" t="s">
        <v>451</v>
      </c>
      <c r="I1802" s="103" t="str">
        <f>+'Unit tariffs'!$F$11</f>
        <v>2026/2027</v>
      </c>
      <c r="J1802" s="95"/>
    </row>
    <row r="1803" spans="1:10" ht="13" x14ac:dyDescent="0.3">
      <c r="A1803" s="91"/>
      <c r="B1803" s="104"/>
      <c r="C1803" s="74"/>
      <c r="D1803" s="74"/>
      <c r="E1803" s="74"/>
      <c r="F1803" s="74"/>
      <c r="G1803" s="74"/>
      <c r="H1803" s="74"/>
      <c r="I1803" s="74"/>
      <c r="J1803" s="95"/>
    </row>
    <row r="1804" spans="1:10" ht="13" x14ac:dyDescent="0.3">
      <c r="A1804" s="91"/>
      <c r="C1804" s="74" t="s">
        <v>414</v>
      </c>
      <c r="D1804">
        <v>44</v>
      </c>
      <c r="E1804" s="74" t="s">
        <v>415</v>
      </c>
      <c r="F1804" s="74"/>
      <c r="G1804" s="74"/>
      <c r="H1804" s="84"/>
      <c r="I1804" s="84"/>
      <c r="J1804" s="95"/>
    </row>
    <row r="1805" spans="1:10" ht="13" x14ac:dyDescent="0.3">
      <c r="A1805" s="91"/>
      <c r="B1805" s="74"/>
      <c r="C1805" s="74" t="s">
        <v>423</v>
      </c>
      <c r="D1805" s="1">
        <v>7.5</v>
      </c>
      <c r="E1805" s="74" t="s">
        <v>415</v>
      </c>
      <c r="F1805" s="74" t="s">
        <v>416</v>
      </c>
      <c r="G1805" s="74"/>
      <c r="H1805" s="84"/>
      <c r="I1805" s="84"/>
      <c r="J1805" s="95"/>
    </row>
    <row r="1806" spans="1:10" ht="13" x14ac:dyDescent="0.3">
      <c r="A1806" s="91"/>
      <c r="B1806" s="74"/>
      <c r="C1806" s="74" t="s">
        <v>115</v>
      </c>
      <c r="D1806" s="590">
        <f>+F1806</f>
        <v>0</v>
      </c>
      <c r="E1806" s="74" t="s">
        <v>417</v>
      </c>
      <c r="F1806" s="74">
        <v>0</v>
      </c>
      <c r="G1806" s="74"/>
      <c r="H1806" s="84"/>
      <c r="I1806" s="84"/>
      <c r="J1806" s="95"/>
    </row>
    <row r="1807" spans="1:10" ht="13" x14ac:dyDescent="0.3">
      <c r="A1807" s="91"/>
      <c r="B1807" s="74"/>
      <c r="C1807" s="74" t="s">
        <v>418</v>
      </c>
      <c r="D1807" s="594">
        <f>(F1807*D1805)</f>
        <v>0</v>
      </c>
      <c r="E1807" s="74" t="s">
        <v>417</v>
      </c>
      <c r="F1807" s="74">
        <v>0</v>
      </c>
      <c r="G1807" s="74" t="s">
        <v>419</v>
      </c>
      <c r="H1807" s="84"/>
      <c r="I1807" s="84"/>
      <c r="J1807" s="95"/>
    </row>
    <row r="1808" spans="1:10" ht="13" x14ac:dyDescent="0.3">
      <c r="A1808" s="91"/>
      <c r="B1808" s="74"/>
      <c r="C1808" s="74" t="s">
        <v>420</v>
      </c>
      <c r="D1808" s="190">
        <f>(D1805*31*24*0.33*F1808)</f>
        <v>3075.1459349608804</v>
      </c>
      <c r="E1808" s="74" t="s">
        <v>417</v>
      </c>
      <c r="F1808" s="186">
        <f>+'Unit tariffs'!$F$163</f>
        <v>1.6700043092000001</v>
      </c>
      <c r="G1808" s="74" t="s">
        <v>421</v>
      </c>
      <c r="H1808" s="84"/>
      <c r="I1808" s="84"/>
      <c r="J1808" s="95"/>
    </row>
    <row r="1809" spans="1:11" ht="13" x14ac:dyDescent="0.3">
      <c r="A1809" s="91"/>
      <c r="B1809" s="74"/>
      <c r="C1809" s="74" t="s">
        <v>422</v>
      </c>
      <c r="D1809" s="595">
        <f>D1808+D1807+D1806</f>
        <v>3075.1459349608804</v>
      </c>
      <c r="E1809" s="74"/>
      <c r="F1809" s="74"/>
      <c r="G1809" s="74"/>
      <c r="H1809" s="84"/>
      <c r="I1809" s="84"/>
      <c r="J1809" s="95"/>
    </row>
    <row r="1810" spans="1:11" ht="13" x14ac:dyDescent="0.3">
      <c r="A1810" s="91"/>
      <c r="B1810" s="74"/>
      <c r="C1810" s="74"/>
      <c r="D1810" s="596"/>
      <c r="E1810" s="74"/>
      <c r="F1810" s="74"/>
      <c r="G1810" s="74"/>
      <c r="H1810" s="84"/>
      <c r="I1810" s="84"/>
      <c r="J1810" s="95"/>
    </row>
    <row r="1811" spans="1:11" ht="13" x14ac:dyDescent="0.3">
      <c r="A1811" s="91"/>
      <c r="B1811" s="104" t="s">
        <v>425</v>
      </c>
      <c r="D1811" s="104">
        <v>5</v>
      </c>
      <c r="E1811" s="74"/>
      <c r="F1811" s="74"/>
      <c r="G1811" s="74"/>
      <c r="H1811" s="587">
        <v>15375.729674804403</v>
      </c>
      <c r="I1811" s="587">
        <f>+D1809*D1811</f>
        <v>15375.729674804403</v>
      </c>
      <c r="J1811" s="95"/>
    </row>
    <row r="1812" spans="1:11" ht="13" x14ac:dyDescent="0.3">
      <c r="A1812" s="91"/>
      <c r="B1812" s="74"/>
      <c r="C1812" s="74"/>
      <c r="D1812" s="74"/>
      <c r="E1812" s="74"/>
      <c r="F1812" s="74"/>
      <c r="G1812" s="74"/>
      <c r="H1812" s="597"/>
      <c r="I1812" s="597"/>
      <c r="J1812" s="95"/>
    </row>
    <row r="1813" spans="1:11" ht="13" x14ac:dyDescent="0.3">
      <c r="A1813" s="91"/>
      <c r="B1813" s="74"/>
      <c r="C1813" s="74"/>
      <c r="D1813" s="74"/>
      <c r="E1813" s="74"/>
      <c r="F1813" s="128"/>
      <c r="G1813" s="633" t="s">
        <v>435</v>
      </c>
      <c r="H1813" s="587">
        <v>15400</v>
      </c>
      <c r="I1813" s="587">
        <f>+ROUND(I1811,-2)</f>
        <v>15400</v>
      </c>
      <c r="J1813" s="95"/>
      <c r="K1813" s="587"/>
    </row>
    <row r="1814" spans="1:11" ht="13" x14ac:dyDescent="0.3">
      <c r="A1814" s="91"/>
      <c r="B1814" s="74"/>
      <c r="C1814" s="74"/>
      <c r="D1814" s="74"/>
      <c r="E1814" s="74"/>
      <c r="F1814" s="128"/>
      <c r="G1814" s="74"/>
      <c r="H1814" s="587"/>
      <c r="I1814" s="587"/>
      <c r="J1814" s="95"/>
    </row>
    <row r="1815" spans="1:11" ht="13" x14ac:dyDescent="0.3">
      <c r="A1815" s="91"/>
      <c r="B1815" s="74"/>
      <c r="C1815" s="74"/>
      <c r="D1815" s="74"/>
      <c r="E1815" s="74"/>
      <c r="F1815" s="128"/>
      <c r="G1815" s="74"/>
      <c r="H1815" s="598">
        <v>0</v>
      </c>
      <c r="I1815" s="598">
        <f>+(I1813-H1813)/H1813</f>
        <v>0</v>
      </c>
      <c r="J1815" s="95"/>
    </row>
    <row r="1816" spans="1:11" ht="13" x14ac:dyDescent="0.3">
      <c r="A1816" s="91"/>
      <c r="B1816" s="74"/>
      <c r="C1816" s="74"/>
      <c r="D1816" s="74"/>
      <c r="E1816" s="74"/>
      <c r="F1816" s="74"/>
      <c r="G1816" s="74"/>
      <c r="H1816" s="588"/>
      <c r="I1816" s="588"/>
      <c r="J1816" s="95"/>
    </row>
    <row r="1817" spans="1:11" ht="33.75" customHeight="1" x14ac:dyDescent="0.3">
      <c r="A1817" s="91"/>
      <c r="B1817" s="943" t="s">
        <v>491</v>
      </c>
      <c r="C1817" s="944"/>
      <c r="D1817" s="944"/>
      <c r="E1817" s="944"/>
      <c r="F1817" s="944"/>
      <c r="G1817" s="945"/>
      <c r="H1817" s="588"/>
      <c r="I1817" s="588"/>
      <c r="J1817" s="95"/>
    </row>
    <row r="1818" spans="1:11" ht="13" x14ac:dyDescent="0.3">
      <c r="A1818" s="91"/>
      <c r="B1818" s="74"/>
      <c r="C1818" s="74"/>
      <c r="D1818" s="74"/>
      <c r="E1818" s="74"/>
      <c r="F1818" s="74"/>
      <c r="G1818" s="74"/>
      <c r="H1818" s="84"/>
      <c r="I1818" s="84"/>
      <c r="J1818" s="95"/>
    </row>
    <row r="1819" spans="1:11" ht="13" x14ac:dyDescent="0.3">
      <c r="A1819" s="91"/>
      <c r="B1819" s="104" t="s">
        <v>424</v>
      </c>
      <c r="C1819" s="74"/>
      <c r="D1819" s="74"/>
      <c r="E1819" s="74"/>
      <c r="F1819" s="74"/>
      <c r="G1819" s="74"/>
      <c r="H1819" s="103" t="s">
        <v>451</v>
      </c>
      <c r="I1819" s="103" t="str">
        <f>+'Unit tariffs'!$F$11</f>
        <v>2026/2027</v>
      </c>
      <c r="J1819" s="95"/>
    </row>
    <row r="1820" spans="1:11" ht="13" x14ac:dyDescent="0.3">
      <c r="A1820" s="91"/>
      <c r="B1820" s="104"/>
      <c r="C1820" s="74"/>
      <c r="D1820" s="74"/>
      <c r="E1820" s="74"/>
      <c r="F1820" s="74"/>
      <c r="G1820" s="74"/>
      <c r="H1820" s="74"/>
      <c r="I1820" s="74"/>
      <c r="J1820" s="95"/>
    </row>
    <row r="1821" spans="1:11" ht="13" x14ac:dyDescent="0.3">
      <c r="A1821" s="91"/>
      <c r="C1821" s="74" t="s">
        <v>414</v>
      </c>
      <c r="D1821">
        <v>44</v>
      </c>
      <c r="E1821" s="74" t="s">
        <v>415</v>
      </c>
      <c r="F1821" s="74"/>
      <c r="G1821" s="74"/>
      <c r="H1821" s="84"/>
      <c r="I1821" s="84"/>
      <c r="J1821" s="95"/>
    </row>
    <row r="1822" spans="1:11" ht="13" x14ac:dyDescent="0.3">
      <c r="A1822" s="91"/>
      <c r="B1822" s="74"/>
      <c r="C1822" s="74" t="s">
        <v>423</v>
      </c>
      <c r="D1822" s="1">
        <v>15</v>
      </c>
      <c r="E1822" s="74" t="s">
        <v>415</v>
      </c>
      <c r="F1822" s="74" t="s">
        <v>416</v>
      </c>
      <c r="G1822" s="74"/>
      <c r="H1822" s="84"/>
      <c r="I1822" s="84"/>
      <c r="J1822" s="95"/>
    </row>
    <row r="1823" spans="1:11" ht="13" x14ac:dyDescent="0.3">
      <c r="A1823" s="91"/>
      <c r="B1823" s="74"/>
      <c r="C1823" s="74" t="s">
        <v>115</v>
      </c>
      <c r="D1823" s="590">
        <f>+F1823</f>
        <v>0</v>
      </c>
      <c r="E1823" s="74" t="s">
        <v>417</v>
      </c>
      <c r="F1823" s="74">
        <v>0</v>
      </c>
      <c r="G1823" s="74"/>
      <c r="H1823" s="84"/>
      <c r="I1823" s="84"/>
      <c r="J1823" s="95"/>
    </row>
    <row r="1824" spans="1:11" ht="13" x14ac:dyDescent="0.3">
      <c r="A1824" s="91"/>
      <c r="B1824" s="74"/>
      <c r="C1824" s="74" t="s">
        <v>418</v>
      </c>
      <c r="D1824" s="594">
        <f>(F1824*D1822)</f>
        <v>0</v>
      </c>
      <c r="E1824" s="74" t="s">
        <v>417</v>
      </c>
      <c r="F1824" s="74">
        <v>0</v>
      </c>
      <c r="G1824" s="74" t="s">
        <v>419</v>
      </c>
      <c r="H1824" s="84"/>
      <c r="I1824" s="84"/>
      <c r="J1824" s="95"/>
    </row>
    <row r="1825" spans="1:11" ht="13" x14ac:dyDescent="0.3">
      <c r="A1825" s="91"/>
      <c r="B1825" s="74"/>
      <c r="C1825" s="74" t="s">
        <v>420</v>
      </c>
      <c r="D1825" s="190">
        <f>(D1822*31*24*0.33*F1825)</f>
        <v>6150.2918699217607</v>
      </c>
      <c r="E1825" s="74" t="s">
        <v>417</v>
      </c>
      <c r="F1825" s="186">
        <f>+'Unit tariffs'!$F$163</f>
        <v>1.6700043092000001</v>
      </c>
      <c r="G1825" s="74" t="s">
        <v>421</v>
      </c>
      <c r="H1825" s="84"/>
      <c r="I1825" s="84"/>
      <c r="J1825" s="95"/>
    </row>
    <row r="1826" spans="1:11" ht="13" x14ac:dyDescent="0.3">
      <c r="A1826" s="91"/>
      <c r="B1826" s="74"/>
      <c r="C1826" s="74" t="s">
        <v>422</v>
      </c>
      <c r="D1826" s="595">
        <f>D1825+D1824+D1823</f>
        <v>6150.2918699217607</v>
      </c>
      <c r="E1826" s="74"/>
      <c r="F1826" s="74"/>
      <c r="G1826" s="74"/>
      <c r="H1826" s="84"/>
      <c r="I1826" s="84"/>
      <c r="J1826" s="95"/>
    </row>
    <row r="1827" spans="1:11" ht="13" x14ac:dyDescent="0.3">
      <c r="A1827" s="91"/>
      <c r="B1827" s="74"/>
      <c r="C1827" s="74"/>
      <c r="D1827" s="596"/>
      <c r="E1827" s="74"/>
      <c r="F1827" s="74"/>
      <c r="G1827" s="74"/>
      <c r="H1827" s="84"/>
      <c r="I1827" s="84"/>
      <c r="J1827" s="95"/>
    </row>
    <row r="1828" spans="1:11" ht="13" x14ac:dyDescent="0.3">
      <c r="A1828" s="91"/>
      <c r="B1828" s="104" t="s">
        <v>425</v>
      </c>
      <c r="D1828" s="104">
        <v>5</v>
      </c>
      <c r="E1828" s="74"/>
      <c r="F1828" s="74"/>
      <c r="G1828" s="74"/>
      <c r="H1828" s="587">
        <v>30751.459349608805</v>
      </c>
      <c r="I1828" s="587">
        <f>+D1826*D1828</f>
        <v>30751.459349608805</v>
      </c>
      <c r="J1828" s="95"/>
    </row>
    <row r="1829" spans="1:11" ht="13" x14ac:dyDescent="0.3">
      <c r="A1829" s="91"/>
      <c r="B1829" s="74"/>
      <c r="C1829" s="74"/>
      <c r="D1829" s="74"/>
      <c r="E1829" s="74"/>
      <c r="F1829" s="74"/>
      <c r="G1829" s="74"/>
      <c r="H1829" s="597"/>
      <c r="I1829" s="597"/>
      <c r="J1829" s="95"/>
    </row>
    <row r="1830" spans="1:11" ht="13" x14ac:dyDescent="0.3">
      <c r="A1830" s="91"/>
      <c r="B1830" s="74"/>
      <c r="C1830" s="74"/>
      <c r="D1830" s="74"/>
      <c r="E1830" s="74"/>
      <c r="F1830" s="128"/>
      <c r="G1830" s="633" t="s">
        <v>435</v>
      </c>
      <c r="H1830" s="587">
        <v>30800</v>
      </c>
      <c r="I1830" s="587">
        <f>+ROUND(I1828,-2)</f>
        <v>30800</v>
      </c>
      <c r="J1830" s="95"/>
      <c r="K1830" s="587"/>
    </row>
    <row r="1831" spans="1:11" ht="13" x14ac:dyDescent="0.3">
      <c r="A1831" s="91"/>
      <c r="B1831" s="74"/>
      <c r="C1831" s="74"/>
      <c r="D1831" s="74"/>
      <c r="E1831" s="74"/>
      <c r="F1831" s="128"/>
      <c r="G1831" s="74"/>
      <c r="H1831" s="587"/>
      <c r="I1831" s="587"/>
      <c r="J1831" s="95"/>
    </row>
    <row r="1832" spans="1:11" ht="13" x14ac:dyDescent="0.3">
      <c r="A1832" s="91"/>
      <c r="B1832" s="74"/>
      <c r="C1832" s="74"/>
      <c r="D1832" s="74"/>
      <c r="E1832" s="74"/>
      <c r="F1832" s="128"/>
      <c r="G1832" s="74"/>
      <c r="H1832" s="598">
        <v>0</v>
      </c>
      <c r="I1832" s="598">
        <f>+(I1830-H1830)/H1830</f>
        <v>0</v>
      </c>
      <c r="J1832" s="95"/>
    </row>
    <row r="1833" spans="1:11" ht="13.5" thickBot="1" x14ac:dyDescent="0.35">
      <c r="A1833" s="448"/>
      <c r="B1833" s="123"/>
      <c r="C1833" s="123"/>
      <c r="D1833" s="123"/>
      <c r="E1833" s="123"/>
      <c r="F1833" s="123"/>
      <c r="G1833" s="123"/>
      <c r="H1833" s="123"/>
      <c r="I1833" s="123"/>
      <c r="J1833" s="95"/>
    </row>
    <row r="1834" spans="1:11" ht="13.5" thickTop="1" x14ac:dyDescent="0.3">
      <c r="A1834" s="91"/>
      <c r="B1834" s="74"/>
      <c r="C1834" s="74"/>
      <c r="D1834" s="74"/>
      <c r="E1834" s="74"/>
      <c r="F1834" s="74"/>
      <c r="G1834" s="74"/>
      <c r="H1834" s="74"/>
      <c r="I1834" s="74"/>
      <c r="J1834" s="95"/>
    </row>
    <row r="1835" spans="1:11" ht="13.5" thickBot="1" x14ac:dyDescent="0.35">
      <c r="A1835" s="91"/>
      <c r="B1835" s="74"/>
      <c r="C1835" s="74"/>
      <c r="D1835" s="74"/>
      <c r="E1835" s="74"/>
      <c r="F1835" s="74"/>
      <c r="G1835" s="74"/>
      <c r="H1835" s="74"/>
      <c r="I1835" s="74"/>
      <c r="J1835" s="105"/>
    </row>
    <row r="1836" spans="1:11" ht="13.5" thickTop="1" x14ac:dyDescent="0.3">
      <c r="A1836" s="445"/>
      <c r="B1836" s="120" t="s">
        <v>1</v>
      </c>
      <c r="C1836" s="120"/>
      <c r="D1836" s="120"/>
      <c r="E1836" s="120"/>
      <c r="F1836" s="120"/>
      <c r="G1836" s="120"/>
      <c r="H1836" s="120"/>
      <c r="I1836" s="120"/>
      <c r="J1836" s="105"/>
    </row>
    <row r="1837" spans="1:11" ht="13" x14ac:dyDescent="0.3">
      <c r="A1837" s="91"/>
      <c r="B1837" s="92" t="s">
        <v>492</v>
      </c>
      <c r="C1837" s="93"/>
      <c r="D1837" s="93"/>
      <c r="E1837" s="93"/>
      <c r="F1837" s="93"/>
      <c r="G1837" s="93"/>
      <c r="H1837" s="94"/>
      <c r="I1837" s="94"/>
      <c r="J1837" s="105"/>
    </row>
    <row r="1838" spans="1:11" ht="13" x14ac:dyDescent="0.3">
      <c r="A1838" s="91"/>
      <c r="B1838" s="104"/>
      <c r="C1838" s="74"/>
      <c r="D1838" s="74"/>
      <c r="E1838" s="74"/>
      <c r="F1838" s="74"/>
      <c r="G1838" s="74"/>
      <c r="H1838" s="74"/>
      <c r="I1838" s="74"/>
      <c r="J1838" s="95"/>
    </row>
    <row r="1839" spans="1:11" ht="13" x14ac:dyDescent="0.3">
      <c r="A1839" s="91"/>
      <c r="B1839" s="74" t="s">
        <v>64</v>
      </c>
      <c r="C1839" s="74"/>
      <c r="D1839" s="74"/>
      <c r="E1839" s="74"/>
      <c r="F1839" s="74"/>
      <c r="G1839" s="74"/>
      <c r="H1839" s="74"/>
      <c r="I1839" s="74"/>
      <c r="J1839" s="95"/>
    </row>
    <row r="1840" spans="1:11" ht="13" x14ac:dyDescent="0.3">
      <c r="A1840" s="91"/>
      <c r="B1840" s="74"/>
      <c r="C1840" s="74"/>
      <c r="D1840" s="74"/>
      <c r="E1840" s="74"/>
      <c r="F1840" s="74"/>
      <c r="G1840" s="74"/>
      <c r="H1840" s="74"/>
      <c r="I1840" s="74"/>
      <c r="J1840" s="105"/>
    </row>
    <row r="1841" spans="1:11" ht="13" x14ac:dyDescent="0.3">
      <c r="A1841" s="91"/>
      <c r="B1841" s="74"/>
      <c r="C1841" s="74"/>
      <c r="D1841" s="74"/>
      <c r="E1841" s="74"/>
      <c r="F1841" s="74"/>
      <c r="G1841" s="74"/>
      <c r="H1841" s="103" t="s">
        <v>451</v>
      </c>
      <c r="I1841" s="103" t="str">
        <f>+'Unit tariffs'!$F$11</f>
        <v>2026/2027</v>
      </c>
      <c r="J1841" s="105"/>
    </row>
    <row r="1842" spans="1:11" ht="13" x14ac:dyDescent="0.3">
      <c r="A1842" s="91"/>
      <c r="B1842" s="104" t="s">
        <v>62</v>
      </c>
      <c r="C1842" s="74"/>
      <c r="D1842" s="74"/>
      <c r="E1842" s="74"/>
      <c r="F1842" s="74"/>
      <c r="G1842" s="74"/>
      <c r="H1842" s="74"/>
      <c r="I1842" s="74"/>
      <c r="J1842" s="105"/>
    </row>
    <row r="1843" spans="1:11" ht="13" x14ac:dyDescent="0.3">
      <c r="A1843" s="91"/>
      <c r="B1843" s="74"/>
      <c r="C1843" s="74"/>
      <c r="D1843" s="74"/>
      <c r="E1843" s="74"/>
      <c r="F1843" s="74"/>
      <c r="G1843" s="74"/>
      <c r="H1843" s="74"/>
      <c r="I1843" s="74"/>
      <c r="J1843" s="105"/>
    </row>
    <row r="1844" spans="1:11" ht="13" x14ac:dyDescent="0.3">
      <c r="A1844" s="91"/>
      <c r="B1844" s="104" t="s">
        <v>42</v>
      </c>
      <c r="C1844" s="74"/>
      <c r="D1844" s="74"/>
      <c r="E1844" s="74"/>
      <c r="F1844" s="74"/>
      <c r="G1844" s="74"/>
      <c r="H1844" s="74"/>
      <c r="I1844" s="74"/>
      <c r="J1844" s="105"/>
    </row>
    <row r="1845" spans="1:11" ht="13" x14ac:dyDescent="0.3">
      <c r="A1845" s="91"/>
      <c r="B1845" s="74"/>
      <c r="C1845" s="74"/>
      <c r="D1845" s="74"/>
      <c r="E1845" s="74"/>
      <c r="F1845" s="74"/>
      <c r="G1845" s="74"/>
      <c r="H1845" s="74"/>
      <c r="I1845" s="74"/>
      <c r="J1845" s="105"/>
    </row>
    <row r="1846" spans="1:11" ht="13" x14ac:dyDescent="0.3">
      <c r="A1846" s="91"/>
      <c r="B1846" s="74">
        <v>1</v>
      </c>
      <c r="C1846" s="74" t="str">
        <f>'Unit tariffs'!B$86</f>
        <v>hour-meter assistant</v>
      </c>
      <c r="D1846" s="74"/>
      <c r="E1846" s="74"/>
      <c r="F1846" s="74"/>
      <c r="G1846" s="74"/>
      <c r="H1846" s="81">
        <v>128.53580769230771</v>
      </c>
      <c r="I1846" s="81">
        <f>VLOOKUP($C1846,'Unit tariffs'!$B$21:$F$123,5,FALSE)*$B1846</f>
        <v>139.82425846153848</v>
      </c>
      <c r="J1846" s="105"/>
    </row>
    <row r="1847" spans="1:11" ht="13" x14ac:dyDescent="0.3">
      <c r="A1847" s="91"/>
      <c r="B1847" s="74"/>
      <c r="C1847" s="74"/>
      <c r="D1847" s="74"/>
      <c r="E1847" s="74"/>
      <c r="F1847" s="74"/>
      <c r="G1847" s="74"/>
      <c r="H1847" s="76">
        <v>128.53580769230771</v>
      </c>
      <c r="I1847" s="76">
        <f>SUM(I1846:I1846)</f>
        <v>139.82425846153848</v>
      </c>
      <c r="J1847" s="95"/>
    </row>
    <row r="1848" spans="1:11" ht="13" x14ac:dyDescent="0.3">
      <c r="A1848" s="91"/>
      <c r="B1848" s="104" t="s">
        <v>43</v>
      </c>
      <c r="C1848" s="74"/>
      <c r="D1848" s="74"/>
      <c r="E1848" s="74"/>
      <c r="F1848" s="74"/>
      <c r="G1848" s="74"/>
      <c r="H1848" s="74"/>
      <c r="I1848" s="74"/>
      <c r="J1848" s="110"/>
      <c r="K1848" s="111"/>
    </row>
    <row r="1849" spans="1:11" ht="13" x14ac:dyDescent="0.3">
      <c r="A1849" s="91"/>
      <c r="B1849" s="74"/>
      <c r="C1849" s="74"/>
      <c r="D1849" s="74"/>
      <c r="E1849" s="74"/>
      <c r="F1849" s="74"/>
      <c r="G1849" s="74"/>
      <c r="H1849" s="74"/>
      <c r="I1849" s="74"/>
      <c r="J1849" s="105"/>
    </row>
    <row r="1850" spans="1:11" ht="13" x14ac:dyDescent="0.3">
      <c r="A1850" s="91"/>
      <c r="B1850" s="74">
        <v>24</v>
      </c>
      <c r="C1850" s="74" t="str">
        <f>'Unit tariffs'!B$115</f>
        <v>km-panel van</v>
      </c>
      <c r="D1850" s="74"/>
      <c r="E1850" s="74"/>
      <c r="F1850" s="74"/>
      <c r="G1850" s="74"/>
      <c r="H1850" s="76">
        <v>561.73212692749291</v>
      </c>
      <c r="I1850" s="76">
        <f>VLOOKUP($C1850,'Unit tariffs'!$B$21:$F$123,5,FALSE)*$B1850</f>
        <v>657.25769779100983</v>
      </c>
      <c r="J1850" s="113"/>
    </row>
    <row r="1851" spans="1:11" ht="13" x14ac:dyDescent="0.3">
      <c r="A1851" s="91"/>
      <c r="B1851" s="74">
        <v>1</v>
      </c>
      <c r="C1851" s="74" t="str">
        <f>'Unit tariffs'!B$116</f>
        <v>hour-panel van</v>
      </c>
      <c r="D1851" s="74"/>
      <c r="E1851" s="74"/>
      <c r="F1851" s="74"/>
      <c r="G1851" s="74"/>
      <c r="H1851" s="76">
        <v>204.56157119174406</v>
      </c>
      <c r="I1851" s="76">
        <f>VLOOKUP($C1851,'Unit tariffs'!$B$21:$F$123,5,FALSE)*$B1851</f>
        <v>239.34836711832207</v>
      </c>
      <c r="J1851" s="95"/>
    </row>
    <row r="1852" spans="1:11" ht="13" x14ac:dyDescent="0.3">
      <c r="A1852" s="91"/>
      <c r="B1852" s="74"/>
      <c r="C1852" s="74"/>
      <c r="D1852" s="74"/>
      <c r="E1852" s="74"/>
      <c r="F1852" s="74"/>
      <c r="G1852" s="74"/>
      <c r="H1852" s="509">
        <v>766.29369811923698</v>
      </c>
      <c r="I1852" s="509">
        <f>SUM(I1850:I1851)</f>
        <v>896.60606490933196</v>
      </c>
      <c r="J1852" s="95"/>
    </row>
    <row r="1853" spans="1:11" ht="13.5" thickBot="1" x14ac:dyDescent="0.35">
      <c r="A1853" s="91"/>
      <c r="B1853" s="104"/>
      <c r="C1853" s="74"/>
      <c r="D1853" s="106"/>
      <c r="E1853" s="74"/>
      <c r="F1853" s="74"/>
      <c r="G1853" s="74"/>
      <c r="H1853" s="108"/>
      <c r="I1853" s="108"/>
      <c r="J1853" s="95"/>
    </row>
    <row r="1854" spans="1:11" ht="13.5" thickTop="1" x14ac:dyDescent="0.3">
      <c r="A1854" s="91"/>
      <c r="B1854" s="74"/>
      <c r="C1854" s="74"/>
      <c r="D1854" s="74"/>
      <c r="E1854" s="74"/>
      <c r="F1854" s="74"/>
      <c r="G1854" s="76"/>
      <c r="H1854" s="76">
        <v>894.82950581154466</v>
      </c>
      <c r="I1854" s="76">
        <f>I1852+I1847</f>
        <v>1036.4303233708704</v>
      </c>
      <c r="J1854" s="95"/>
    </row>
    <row r="1855" spans="1:11" ht="13.5" thickBot="1" x14ac:dyDescent="0.35">
      <c r="A1855" s="91"/>
      <c r="B1855" s="104" t="str">
        <f>'Unit tariffs'!$B$7</f>
        <v>Administration Levy (Indirect Cost)</v>
      </c>
      <c r="C1855" s="74"/>
      <c r="D1855" s="106">
        <f>'Unit tariffs'!$C$7</f>
        <v>0.1</v>
      </c>
      <c r="E1855" s="74" t="s">
        <v>311</v>
      </c>
      <c r="F1855" s="186">
        <f>+'Unit tariffs'!$F$7</f>
        <v>10000</v>
      </c>
      <c r="G1855" s="76"/>
      <c r="H1855" s="108">
        <v>89.482950581154469</v>
      </c>
      <c r="I1855" s="108">
        <f>IF(I1854*$D1855&gt;='Unit tariffs'!$E$7,'Unit tariffs'!$E$7,I1854*$D1855)</f>
        <v>103.64303233708705</v>
      </c>
      <c r="J1855" s="95"/>
    </row>
    <row r="1856" spans="1:11" ht="13.5" thickTop="1" x14ac:dyDescent="0.3">
      <c r="A1856" s="91"/>
      <c r="B1856" s="104" t="s">
        <v>44</v>
      </c>
      <c r="C1856" s="74"/>
      <c r="D1856" s="74"/>
      <c r="E1856" s="74"/>
      <c r="F1856" s="74"/>
      <c r="G1856" s="76"/>
      <c r="H1856" s="109">
        <v>984.31245639269912</v>
      </c>
      <c r="I1856" s="109">
        <f>SUM(I1854:I1855)</f>
        <v>1140.0733557079575</v>
      </c>
      <c r="J1856" s="95"/>
    </row>
    <row r="1857" spans="1:10" ht="13" x14ac:dyDescent="0.3">
      <c r="A1857" s="91"/>
      <c r="B1857" s="74"/>
      <c r="C1857" s="74"/>
      <c r="D1857" s="74"/>
      <c r="E1857" s="74"/>
      <c r="F1857" s="74"/>
      <c r="G1857" s="74"/>
      <c r="H1857" s="74"/>
      <c r="I1857" s="74"/>
      <c r="J1857" s="95"/>
    </row>
    <row r="1858" spans="1:10" ht="13" x14ac:dyDescent="0.3">
      <c r="A1858" s="91"/>
      <c r="B1858" s="104" t="s">
        <v>45</v>
      </c>
      <c r="C1858" s="74"/>
      <c r="D1858" s="74"/>
      <c r="E1858" s="74"/>
      <c r="F1858" s="74"/>
      <c r="G1858" s="74"/>
      <c r="H1858" s="84">
        <v>984</v>
      </c>
      <c r="I1858" s="84">
        <f>ROUND(I1856,0)</f>
        <v>1140</v>
      </c>
      <c r="J1858" s="450"/>
    </row>
    <row r="1859" spans="1:10" ht="13" x14ac:dyDescent="0.3">
      <c r="A1859" s="91"/>
      <c r="B1859" s="74"/>
      <c r="C1859" s="74"/>
      <c r="D1859" s="74"/>
      <c r="E1859" s="74"/>
      <c r="F1859" s="74"/>
      <c r="G1859" s="74"/>
      <c r="H1859" s="76"/>
      <c r="I1859" s="76"/>
      <c r="J1859" s="450"/>
    </row>
    <row r="1860" spans="1:10" ht="13" x14ac:dyDescent="0.3">
      <c r="A1860" s="91"/>
      <c r="B1860" s="74"/>
      <c r="C1860" s="74"/>
      <c r="D1860" s="74"/>
      <c r="E1860" s="74"/>
      <c r="F1860" s="74"/>
      <c r="G1860" s="74"/>
      <c r="H1860" s="112">
        <v>0</v>
      </c>
      <c r="I1860" s="112">
        <f>(I1858-H1858)/H1858</f>
        <v>0.15853658536585366</v>
      </c>
      <c r="J1860" s="105"/>
    </row>
    <row r="1861" spans="1:10" ht="13.5" thickBot="1" x14ac:dyDescent="0.35">
      <c r="A1861" s="448"/>
      <c r="B1861" s="123"/>
      <c r="C1861" s="123"/>
      <c r="D1861" s="123"/>
      <c r="E1861" s="123"/>
      <c r="F1861" s="123"/>
      <c r="G1861" s="123"/>
      <c r="H1861" s="123"/>
      <c r="I1861" s="123"/>
      <c r="J1861" s="450"/>
    </row>
    <row r="1862" spans="1:10" ht="13.5" thickTop="1" x14ac:dyDescent="0.3">
      <c r="A1862" s="91"/>
      <c r="B1862" s="74"/>
      <c r="C1862" s="74"/>
      <c r="D1862" s="74"/>
      <c r="E1862" s="74"/>
      <c r="F1862" s="74"/>
      <c r="G1862" s="74"/>
      <c r="H1862" s="74"/>
      <c r="I1862" s="74"/>
      <c r="J1862" s="95"/>
    </row>
    <row r="1863" spans="1:10" ht="13.5" thickBot="1" x14ac:dyDescent="0.35">
      <c r="A1863" s="91"/>
      <c r="B1863" s="74"/>
      <c r="C1863" s="74"/>
      <c r="D1863" s="74"/>
      <c r="E1863" s="74"/>
      <c r="F1863" s="74"/>
      <c r="G1863" s="74"/>
      <c r="H1863" s="74"/>
      <c r="I1863" s="74"/>
      <c r="J1863" s="95"/>
    </row>
    <row r="1864" spans="1:10" ht="13.5" thickTop="1" x14ac:dyDescent="0.3">
      <c r="A1864" s="445"/>
      <c r="B1864" s="120" t="s">
        <v>1</v>
      </c>
      <c r="C1864" s="120"/>
      <c r="D1864" s="120"/>
      <c r="E1864" s="120"/>
      <c r="F1864" s="120"/>
      <c r="G1864" s="120"/>
      <c r="H1864" s="120"/>
      <c r="I1864" s="120"/>
      <c r="J1864" s="95"/>
    </row>
    <row r="1865" spans="1:10" ht="13.25" customHeight="1" x14ac:dyDescent="0.3">
      <c r="A1865" s="91"/>
      <c r="B1865" s="937" t="s">
        <v>493</v>
      </c>
      <c r="C1865" s="938"/>
      <c r="D1865" s="938"/>
      <c r="E1865" s="938"/>
      <c r="F1865" s="938"/>
      <c r="G1865" s="939"/>
      <c r="H1865" s="74"/>
      <c r="I1865" s="74"/>
      <c r="J1865" s="95"/>
    </row>
    <row r="1866" spans="1:10" ht="13" x14ac:dyDescent="0.3">
      <c r="A1866" s="91"/>
      <c r="B1866" s="104"/>
      <c r="C1866" s="74"/>
      <c r="D1866" s="74"/>
      <c r="E1866" s="74"/>
      <c r="F1866" s="74"/>
      <c r="G1866" s="74"/>
      <c r="H1866" s="74"/>
      <c r="I1866" s="74"/>
      <c r="J1866" s="105"/>
    </row>
    <row r="1867" spans="1:10" ht="13" x14ac:dyDescent="0.3">
      <c r="A1867" s="91"/>
      <c r="B1867" s="74" t="s">
        <v>101</v>
      </c>
      <c r="C1867" s="74"/>
      <c r="D1867" s="74"/>
      <c r="E1867" s="74"/>
      <c r="F1867" s="74"/>
      <c r="G1867" s="74"/>
      <c r="H1867" s="74"/>
      <c r="I1867" s="74"/>
      <c r="J1867" s="105"/>
    </row>
    <row r="1868" spans="1:10" ht="13" x14ac:dyDescent="0.3">
      <c r="A1868" s="91"/>
      <c r="B1868" s="74"/>
      <c r="C1868" s="74"/>
      <c r="D1868" s="74"/>
      <c r="E1868" s="74"/>
      <c r="F1868" s="74"/>
      <c r="G1868" s="74"/>
      <c r="H1868" s="74"/>
      <c r="I1868" s="74"/>
      <c r="J1868" s="105"/>
    </row>
    <row r="1869" spans="1:10" ht="13" x14ac:dyDescent="0.3">
      <c r="A1869" s="91"/>
      <c r="B1869" s="74"/>
      <c r="C1869" s="74"/>
      <c r="D1869" s="74"/>
      <c r="E1869" s="74"/>
      <c r="F1869" s="74"/>
      <c r="G1869" s="74"/>
      <c r="H1869" s="103" t="s">
        <v>451</v>
      </c>
      <c r="I1869" s="103" t="str">
        <f>+'Unit tariffs'!$F$11</f>
        <v>2026/2027</v>
      </c>
      <c r="J1869" s="95"/>
    </row>
    <row r="1870" spans="1:10" ht="13" x14ac:dyDescent="0.3">
      <c r="A1870" s="91"/>
      <c r="B1870" s="104" t="s">
        <v>62</v>
      </c>
      <c r="C1870" s="74"/>
      <c r="D1870" s="74"/>
      <c r="E1870" s="74"/>
      <c r="F1870" s="74"/>
      <c r="G1870" s="74"/>
      <c r="H1870" s="74"/>
      <c r="I1870" s="74"/>
      <c r="J1870" s="95"/>
    </row>
    <row r="1871" spans="1:10" ht="13" x14ac:dyDescent="0.3">
      <c r="A1871" s="91"/>
      <c r="B1871" s="74"/>
      <c r="C1871" s="74"/>
      <c r="D1871" s="74"/>
      <c r="E1871" s="74"/>
      <c r="F1871" s="74"/>
      <c r="G1871" s="74"/>
      <c r="H1871" s="74"/>
      <c r="I1871" s="74"/>
      <c r="J1871" s="105"/>
    </row>
    <row r="1872" spans="1:10" ht="13" x14ac:dyDescent="0.3">
      <c r="A1872" s="91"/>
      <c r="B1872" s="104" t="s">
        <v>42</v>
      </c>
      <c r="C1872" s="74"/>
      <c r="D1872" s="74"/>
      <c r="E1872" s="74"/>
      <c r="F1872" s="74"/>
      <c r="G1872" s="74"/>
      <c r="H1872" s="74"/>
      <c r="I1872" s="74"/>
      <c r="J1872" s="105"/>
    </row>
    <row r="1873" spans="1:11" ht="13" x14ac:dyDescent="0.3">
      <c r="A1873" s="91"/>
      <c r="B1873" s="74"/>
      <c r="C1873" s="74"/>
      <c r="D1873" s="74"/>
      <c r="E1873" s="74"/>
      <c r="F1873" s="74"/>
      <c r="G1873" s="74"/>
      <c r="H1873" s="74"/>
      <c r="I1873" s="74"/>
      <c r="J1873" s="105"/>
    </row>
    <row r="1874" spans="1:11" ht="13" x14ac:dyDescent="0.3">
      <c r="A1874" s="91"/>
      <c r="B1874" s="74">
        <v>1</v>
      </c>
      <c r="C1874" s="74" t="str">
        <f>'Unit tariffs'!B87</f>
        <v xml:space="preserve">hour-artisan </v>
      </c>
      <c r="D1874" s="74"/>
      <c r="E1874" s="74"/>
      <c r="F1874" s="74"/>
      <c r="G1874" s="74"/>
      <c r="H1874" s="76">
        <v>322.85223173076923</v>
      </c>
      <c r="I1874" s="76">
        <f>VLOOKUP($C1874,'Unit tariffs'!$B$21:$F$123,5,FALSE)*$B1874</f>
        <v>351.19276615384621</v>
      </c>
      <c r="J1874" s="105"/>
    </row>
    <row r="1875" spans="1:11" ht="13" x14ac:dyDescent="0.3">
      <c r="A1875" s="91"/>
      <c r="B1875" s="74">
        <v>1</v>
      </c>
      <c r="C1875" s="74" t="str">
        <f>'Unit tariffs'!B$85</f>
        <v>hour-artisan assistant</v>
      </c>
      <c r="D1875" s="74"/>
      <c r="E1875" s="74"/>
      <c r="F1875" s="74"/>
      <c r="G1875" s="74"/>
      <c r="H1875" s="81">
        <v>128.53580769230771</v>
      </c>
      <c r="I1875" s="81">
        <f>VLOOKUP($C1875,'Unit tariffs'!$B$21:$F$123,5,FALSE)*$B1875</f>
        <v>139.82425846153848</v>
      </c>
      <c r="J1875" s="105"/>
    </row>
    <row r="1876" spans="1:11" ht="13" x14ac:dyDescent="0.3">
      <c r="A1876" s="91"/>
      <c r="B1876" s="74"/>
      <c r="C1876" s="74"/>
      <c r="D1876" s="74"/>
      <c r="E1876" s="74"/>
      <c r="F1876" s="74"/>
      <c r="G1876" s="74"/>
      <c r="H1876" s="76">
        <v>451.38803942307698</v>
      </c>
      <c r="I1876" s="76">
        <f>SUM(I1874:I1875)</f>
        <v>491.01702461538468</v>
      </c>
      <c r="J1876" s="105"/>
    </row>
    <row r="1877" spans="1:11" ht="13" x14ac:dyDescent="0.3">
      <c r="A1877" s="91"/>
      <c r="B1877" s="104" t="s">
        <v>43</v>
      </c>
      <c r="C1877" s="74"/>
      <c r="D1877" s="74"/>
      <c r="E1877" s="74"/>
      <c r="F1877" s="74"/>
      <c r="G1877" s="74"/>
      <c r="H1877" s="74"/>
      <c r="I1877" s="74"/>
      <c r="J1877" s="105"/>
    </row>
    <row r="1878" spans="1:11" ht="13" x14ac:dyDescent="0.3">
      <c r="A1878" s="91"/>
      <c r="B1878" s="74"/>
      <c r="C1878" s="74"/>
      <c r="D1878" s="74"/>
      <c r="E1878" s="74"/>
      <c r="F1878" s="74"/>
      <c r="G1878" s="74"/>
      <c r="H1878" s="74"/>
      <c r="I1878" s="74"/>
      <c r="J1878" s="95"/>
    </row>
    <row r="1879" spans="1:11" ht="13" x14ac:dyDescent="0.3">
      <c r="A1879" s="91"/>
      <c r="B1879" s="74">
        <v>24</v>
      </c>
      <c r="C1879" s="74" t="str">
        <f>'Unit tariffs'!B$111</f>
        <v>km-truck with platform</v>
      </c>
      <c r="D1879" s="74"/>
      <c r="E1879" s="74"/>
      <c r="F1879" s="74"/>
      <c r="G1879" s="74"/>
      <c r="H1879" s="76">
        <v>1010.8920834182238</v>
      </c>
      <c r="I1879" s="76">
        <f>VLOOKUP($C1879,'Unit tariffs'!$B$21:$F$123,5,FALSE)*$B1879</f>
        <v>1182.7997218118533</v>
      </c>
      <c r="J1879" s="110"/>
      <c r="K1879" s="111"/>
    </row>
    <row r="1880" spans="1:11" ht="13" x14ac:dyDescent="0.3">
      <c r="A1880" s="91"/>
      <c r="B1880" s="74">
        <v>1</v>
      </c>
      <c r="C1880" s="74" t="str">
        <f>'Unit tariffs'!B$112</f>
        <v>hour-truck with platform</v>
      </c>
      <c r="D1880" s="74"/>
      <c r="E1880" s="74"/>
      <c r="F1880" s="74"/>
      <c r="G1880" s="74"/>
      <c r="H1880" s="76">
        <v>204.98441731167313</v>
      </c>
      <c r="I1880" s="76">
        <f>VLOOKUP($C1880,'Unit tariffs'!$B$21:$F$123,5,FALSE)*$B1880</f>
        <v>239.8431204962792</v>
      </c>
      <c r="J1880" s="105"/>
    </row>
    <row r="1881" spans="1:11" ht="13" x14ac:dyDescent="0.3">
      <c r="A1881" s="91"/>
      <c r="B1881" s="74"/>
      <c r="C1881" s="74"/>
      <c r="D1881" s="74"/>
      <c r="E1881" s="74"/>
      <c r="F1881" s="74"/>
      <c r="G1881" s="74"/>
      <c r="H1881" s="137">
        <v>1215.8765007298969</v>
      </c>
      <c r="I1881" s="137">
        <f>SUM(I1879:I1880)</f>
        <v>1422.6428423081325</v>
      </c>
      <c r="J1881" s="113"/>
    </row>
    <row r="1882" spans="1:11" ht="13.5" thickBot="1" x14ac:dyDescent="0.35">
      <c r="A1882" s="91"/>
      <c r="B1882" s="104"/>
      <c r="C1882" s="74"/>
      <c r="D1882" s="106"/>
      <c r="E1882" s="74"/>
      <c r="F1882" s="74"/>
      <c r="G1882" s="74"/>
      <c r="H1882" s="108"/>
      <c r="I1882" s="108"/>
      <c r="J1882" s="95"/>
    </row>
    <row r="1883" spans="1:11" ht="13.5" thickTop="1" x14ac:dyDescent="0.3">
      <c r="A1883" s="91"/>
      <c r="B1883" s="74"/>
      <c r="C1883" s="74"/>
      <c r="D1883" s="74"/>
      <c r="E1883" s="74"/>
      <c r="F1883" s="74"/>
      <c r="G1883" s="76"/>
      <c r="H1883" s="76">
        <v>1667.264540152974</v>
      </c>
      <c r="I1883" s="76">
        <f>I1881+I1876</f>
        <v>1913.6598669235173</v>
      </c>
      <c r="J1883" s="95"/>
    </row>
    <row r="1884" spans="1:11" ht="13.5" thickBot="1" x14ac:dyDescent="0.35">
      <c r="A1884" s="91"/>
      <c r="B1884" s="104" t="str">
        <f>'Unit tariffs'!$B$7</f>
        <v>Administration Levy (Indirect Cost)</v>
      </c>
      <c r="C1884" s="74"/>
      <c r="D1884" s="106">
        <f>'Unit tariffs'!$C$7</f>
        <v>0.1</v>
      </c>
      <c r="E1884" s="74" t="s">
        <v>311</v>
      </c>
      <c r="F1884" s="186">
        <f>+'Unit tariffs'!$F$7</f>
        <v>10000</v>
      </c>
      <c r="G1884" s="76"/>
      <c r="H1884" s="108">
        <v>166.72645401529741</v>
      </c>
      <c r="I1884" s="108">
        <f>IF(I1883*$D1884&gt;='Unit tariffs'!$E$7,'Unit tariffs'!$E$7,I1883*$D1884)</f>
        <v>191.36598669235173</v>
      </c>
      <c r="J1884" s="95"/>
    </row>
    <row r="1885" spans="1:11" ht="13.5" thickTop="1" x14ac:dyDescent="0.3">
      <c r="A1885" s="91"/>
      <c r="B1885" s="104" t="s">
        <v>44</v>
      </c>
      <c r="C1885" s="74"/>
      <c r="D1885" s="74"/>
      <c r="E1885" s="74"/>
      <c r="F1885" s="74"/>
      <c r="G1885" s="76"/>
      <c r="H1885" s="109">
        <v>1833.9909941682713</v>
      </c>
      <c r="I1885" s="109">
        <f>SUM(I1883:I1884)</f>
        <v>2105.025853615869</v>
      </c>
      <c r="J1885" s="95"/>
    </row>
    <row r="1886" spans="1:11" ht="13" x14ac:dyDescent="0.3">
      <c r="A1886" s="91"/>
      <c r="B1886" s="74"/>
      <c r="C1886" s="74"/>
      <c r="D1886" s="74"/>
      <c r="E1886" s="74"/>
      <c r="F1886" s="74"/>
      <c r="G1886" s="74"/>
      <c r="H1886" s="74"/>
      <c r="I1886" s="74"/>
      <c r="J1886" s="95"/>
    </row>
    <row r="1887" spans="1:11" ht="13" x14ac:dyDescent="0.3">
      <c r="A1887" s="91"/>
      <c r="B1887" s="104" t="s">
        <v>45</v>
      </c>
      <c r="C1887" s="74"/>
      <c r="D1887" s="74"/>
      <c r="E1887" s="74"/>
      <c r="F1887" s="74"/>
      <c r="G1887" s="74"/>
      <c r="H1887" s="84">
        <v>1830</v>
      </c>
      <c r="I1887" s="84">
        <f>ROUND(I1885,-1)</f>
        <v>2110</v>
      </c>
      <c r="J1887" s="95"/>
    </row>
    <row r="1888" spans="1:11" ht="13" x14ac:dyDescent="0.3">
      <c r="A1888" s="91"/>
      <c r="B1888" s="74"/>
      <c r="C1888" s="74"/>
      <c r="D1888" s="74"/>
      <c r="E1888" s="74"/>
      <c r="F1888" s="74"/>
      <c r="G1888" s="74"/>
      <c r="H1888" s="76"/>
      <c r="I1888" s="76"/>
      <c r="J1888" s="95"/>
    </row>
    <row r="1889" spans="1:10" ht="13" x14ac:dyDescent="0.3">
      <c r="A1889" s="91"/>
      <c r="B1889" s="74"/>
      <c r="C1889" s="74"/>
      <c r="D1889" s="74"/>
      <c r="E1889" s="74"/>
      <c r="F1889" s="74"/>
      <c r="G1889" s="74"/>
      <c r="H1889" s="112">
        <v>0</v>
      </c>
      <c r="I1889" s="112">
        <f>(I1887-H1887)/H1887</f>
        <v>0.15300546448087432</v>
      </c>
      <c r="J1889" s="444"/>
    </row>
    <row r="1890" spans="1:10" ht="13.5" thickBot="1" x14ac:dyDescent="0.35">
      <c r="A1890" s="448"/>
      <c r="B1890" s="123"/>
      <c r="C1890" s="123"/>
      <c r="D1890" s="123"/>
      <c r="E1890" s="123"/>
      <c r="F1890" s="123"/>
      <c r="G1890" s="123"/>
      <c r="H1890" s="123"/>
      <c r="I1890" s="123"/>
      <c r="J1890" s="95"/>
    </row>
    <row r="1891" spans="1:10" ht="13.5" thickTop="1" x14ac:dyDescent="0.3">
      <c r="A1891" s="91"/>
      <c r="B1891" s="74"/>
      <c r="C1891" s="74"/>
      <c r="D1891" s="74"/>
      <c r="E1891" s="74"/>
      <c r="F1891" s="74"/>
      <c r="G1891" s="74"/>
      <c r="H1891" s="74"/>
      <c r="I1891" s="74"/>
      <c r="J1891" s="95"/>
    </row>
    <row r="1892" spans="1:10" ht="13.5" thickBot="1" x14ac:dyDescent="0.35">
      <c r="A1892" s="91"/>
      <c r="B1892" s="74"/>
      <c r="C1892" s="74"/>
      <c r="D1892" s="74"/>
      <c r="E1892" s="74"/>
      <c r="F1892" s="74"/>
      <c r="G1892" s="74"/>
      <c r="H1892" s="74"/>
      <c r="I1892" s="74"/>
      <c r="J1892" s="447"/>
    </row>
    <row r="1893" spans="1:10" ht="13.5" thickTop="1" x14ac:dyDescent="0.3">
      <c r="A1893" s="445"/>
      <c r="B1893" s="120" t="s">
        <v>1</v>
      </c>
      <c r="C1893" s="120"/>
      <c r="D1893" s="120"/>
      <c r="E1893" s="120"/>
      <c r="F1893" s="120"/>
      <c r="G1893" s="120"/>
      <c r="H1893" s="120"/>
      <c r="I1893" s="120"/>
      <c r="J1893" s="447"/>
    </row>
    <row r="1894" spans="1:10" ht="13" x14ac:dyDescent="0.3">
      <c r="A1894" s="91"/>
      <c r="B1894" s="96" t="s">
        <v>494</v>
      </c>
      <c r="C1894" s="97"/>
      <c r="D1894" s="97"/>
      <c r="E1894" s="97"/>
      <c r="F1894" s="97"/>
      <c r="G1894" s="97"/>
      <c r="H1894" s="98"/>
      <c r="I1894" s="98"/>
      <c r="J1894" s="105"/>
    </row>
    <row r="1895" spans="1:10" ht="13" x14ac:dyDescent="0.3">
      <c r="A1895" s="91"/>
      <c r="B1895" s="99" t="s">
        <v>65</v>
      </c>
      <c r="C1895" s="100"/>
      <c r="D1895" s="100"/>
      <c r="E1895" s="100"/>
      <c r="F1895" s="100"/>
      <c r="G1895" s="100"/>
      <c r="H1895" s="121"/>
      <c r="I1895" s="121"/>
      <c r="J1895" s="105"/>
    </row>
    <row r="1896" spans="1:10" ht="13" x14ac:dyDescent="0.3">
      <c r="A1896" s="91"/>
      <c r="B1896" s="74"/>
      <c r="C1896" s="74"/>
      <c r="D1896" s="74"/>
      <c r="E1896" s="74"/>
      <c r="F1896" s="74"/>
      <c r="G1896" s="74"/>
      <c r="H1896" s="74"/>
      <c r="I1896" s="74"/>
      <c r="J1896" s="105"/>
    </row>
    <row r="1897" spans="1:10" ht="13" x14ac:dyDescent="0.3">
      <c r="A1897" s="91"/>
      <c r="B1897" s="74"/>
      <c r="C1897" s="74"/>
      <c r="D1897" s="74"/>
      <c r="E1897" s="74"/>
      <c r="F1897" s="74"/>
      <c r="G1897" s="74"/>
      <c r="H1897" s="103" t="s">
        <v>451</v>
      </c>
      <c r="I1897" s="103" t="str">
        <f>+'Unit tariffs'!$F$11</f>
        <v>2026/2027</v>
      </c>
      <c r="J1897" s="95"/>
    </row>
    <row r="1898" spans="1:10" ht="13" x14ac:dyDescent="0.3">
      <c r="A1898" s="91"/>
      <c r="B1898" s="74"/>
      <c r="C1898" s="74"/>
      <c r="D1898" s="74"/>
      <c r="E1898" s="74"/>
      <c r="F1898" s="74"/>
      <c r="G1898" s="74"/>
      <c r="H1898" s="127"/>
      <c r="I1898" s="127"/>
      <c r="J1898" s="95"/>
    </row>
    <row r="1899" spans="1:10" ht="13" x14ac:dyDescent="0.3">
      <c r="A1899" s="91"/>
      <c r="B1899" s="104" t="s">
        <v>66</v>
      </c>
      <c r="C1899" s="74"/>
      <c r="D1899" s="74"/>
      <c r="E1899" s="74"/>
      <c r="F1899" s="74"/>
      <c r="G1899" s="74"/>
      <c r="H1899" s="76">
        <v>0</v>
      </c>
      <c r="I1899" s="76">
        <f>(H1899*1.07)</f>
        <v>0</v>
      </c>
      <c r="J1899" s="105"/>
    </row>
    <row r="1900" spans="1:10" ht="13" x14ac:dyDescent="0.3">
      <c r="A1900" s="91"/>
      <c r="B1900" s="74"/>
      <c r="C1900" s="74"/>
      <c r="D1900" s="74"/>
      <c r="E1900" s="74"/>
      <c r="F1900" s="74"/>
      <c r="G1900" s="74"/>
      <c r="H1900" s="127"/>
      <c r="I1900" s="127"/>
      <c r="J1900" s="105"/>
    </row>
    <row r="1901" spans="1:10" ht="13" x14ac:dyDescent="0.3">
      <c r="A1901" s="91"/>
      <c r="B1901" s="104" t="s">
        <v>62</v>
      </c>
      <c r="C1901" s="74"/>
      <c r="D1901" s="74"/>
      <c r="E1901" s="74"/>
      <c r="F1901" s="74"/>
      <c r="G1901" s="74"/>
      <c r="H1901" s="74"/>
      <c r="I1901" s="74"/>
      <c r="J1901" s="105"/>
    </row>
    <row r="1902" spans="1:10" ht="13" x14ac:dyDescent="0.3">
      <c r="A1902" s="91"/>
      <c r="B1902" s="74"/>
      <c r="C1902" s="74"/>
      <c r="D1902" s="74"/>
      <c r="E1902" s="74"/>
      <c r="F1902" s="74"/>
      <c r="G1902" s="74"/>
      <c r="H1902" s="74"/>
      <c r="I1902" s="74"/>
      <c r="J1902" s="105"/>
    </row>
    <row r="1903" spans="1:10" ht="13" x14ac:dyDescent="0.3">
      <c r="A1903" s="91"/>
      <c r="B1903" s="104" t="s">
        <v>42</v>
      </c>
      <c r="C1903" s="74"/>
      <c r="D1903" s="74"/>
      <c r="E1903" s="74"/>
      <c r="F1903" s="74"/>
      <c r="G1903" s="74"/>
      <c r="H1903" s="74"/>
      <c r="I1903" s="74"/>
      <c r="J1903" s="95"/>
    </row>
    <row r="1904" spans="1:10" ht="13" x14ac:dyDescent="0.3">
      <c r="A1904" s="91"/>
      <c r="B1904" s="74"/>
      <c r="C1904" s="74"/>
      <c r="D1904" s="74"/>
      <c r="E1904" s="74"/>
      <c r="F1904" s="74"/>
      <c r="G1904" s="74"/>
      <c r="H1904" s="74"/>
      <c r="I1904" s="74"/>
      <c r="J1904" s="95"/>
    </row>
    <row r="1905" spans="1:10" ht="13" x14ac:dyDescent="0.3">
      <c r="A1905" s="91"/>
      <c r="B1905" s="74">
        <v>2.5</v>
      </c>
      <c r="C1905" s="74" t="str">
        <f>'Unit tariffs'!B$87</f>
        <v xml:space="preserve">hour-artisan </v>
      </c>
      <c r="D1905" s="74"/>
      <c r="E1905" s="74"/>
      <c r="F1905" s="74"/>
      <c r="G1905" s="74"/>
      <c r="H1905" s="76">
        <v>807.13057932692311</v>
      </c>
      <c r="I1905" s="76">
        <f>VLOOKUP($C1905,'Unit tariffs'!$B$21:$F$123,5,FALSE)*$B1905</f>
        <v>877.98191538461549</v>
      </c>
      <c r="J1905" s="105"/>
    </row>
    <row r="1906" spans="1:10" ht="13" x14ac:dyDescent="0.3">
      <c r="A1906" s="91"/>
      <c r="B1906" s="74">
        <v>2.5</v>
      </c>
      <c r="C1906" s="74" t="str">
        <f>'Unit tariffs'!B$85</f>
        <v>hour-artisan assistant</v>
      </c>
      <c r="D1906" s="74"/>
      <c r="E1906" s="74"/>
      <c r="F1906" s="74"/>
      <c r="G1906" s="74"/>
      <c r="H1906" s="81">
        <v>321.33951923076927</v>
      </c>
      <c r="I1906" s="81">
        <f>VLOOKUP($C1906,'Unit tariffs'!$B$21:$F$123,5,FALSE)*$B1906</f>
        <v>349.56064615384616</v>
      </c>
      <c r="J1906" s="105"/>
    </row>
    <row r="1907" spans="1:10" ht="13" x14ac:dyDescent="0.3">
      <c r="A1907" s="91"/>
      <c r="B1907" s="74"/>
      <c r="C1907" s="74"/>
      <c r="D1907" s="74"/>
      <c r="E1907" s="74"/>
      <c r="F1907" s="74"/>
      <c r="G1907" s="74"/>
      <c r="H1907" s="76">
        <v>1128.4700985576924</v>
      </c>
      <c r="I1907" s="76">
        <f>SUM(I1905:I1906)</f>
        <v>1227.5425615384615</v>
      </c>
      <c r="J1907" s="105"/>
    </row>
    <row r="1908" spans="1:10" ht="13" x14ac:dyDescent="0.3">
      <c r="A1908" s="91"/>
      <c r="B1908" s="104" t="s">
        <v>43</v>
      </c>
      <c r="C1908" s="74"/>
      <c r="D1908" s="74"/>
      <c r="E1908" s="74"/>
      <c r="F1908" s="74"/>
      <c r="G1908" s="74"/>
      <c r="H1908" s="74"/>
      <c r="I1908" s="74"/>
      <c r="J1908" s="105"/>
    </row>
    <row r="1909" spans="1:10" ht="13" x14ac:dyDescent="0.3">
      <c r="A1909" s="91"/>
      <c r="B1909" s="74"/>
      <c r="C1909" s="74"/>
      <c r="D1909" s="74"/>
      <c r="E1909" s="74"/>
      <c r="F1909" s="74"/>
      <c r="G1909" s="74"/>
      <c r="H1909" s="74"/>
      <c r="I1909" s="74"/>
      <c r="J1909" s="105"/>
    </row>
    <row r="1910" spans="1:10" ht="13" x14ac:dyDescent="0.3">
      <c r="A1910" s="91"/>
      <c r="B1910" s="74">
        <v>24</v>
      </c>
      <c r="C1910" s="77" t="s">
        <v>48</v>
      </c>
      <c r="D1910" s="74"/>
      <c r="E1910" s="74"/>
      <c r="F1910" s="74"/>
      <c r="G1910" s="74"/>
      <c r="H1910" s="76">
        <v>561.73212692749291</v>
      </c>
      <c r="I1910" s="76">
        <f>VLOOKUP($C1910,'Unit tariffs'!$B$21:$F$123,5,FALSE)*$B1910</f>
        <v>657.25769779100983</v>
      </c>
      <c r="J1910" s="105"/>
    </row>
    <row r="1911" spans="1:10" ht="13" x14ac:dyDescent="0.3">
      <c r="A1911" s="91"/>
      <c r="B1911" s="74">
        <f>+B1905</f>
        <v>2.5</v>
      </c>
      <c r="C1911" s="74" t="str">
        <f>'Unit tariffs'!B$116</f>
        <v>hour-panel van</v>
      </c>
      <c r="D1911" s="74"/>
      <c r="E1911" s="74"/>
      <c r="F1911" s="74"/>
      <c r="G1911" s="74"/>
      <c r="H1911" s="76">
        <v>511.40392797936016</v>
      </c>
      <c r="I1911" s="76">
        <f>VLOOKUP($C1911,'Unit tariffs'!$B$21:$F$124,5,FALSE)*$B1911</f>
        <v>598.37091779580521</v>
      </c>
      <c r="J1911" s="105"/>
    </row>
    <row r="1912" spans="1:10" ht="13" x14ac:dyDescent="0.3">
      <c r="A1912" s="91"/>
      <c r="B1912" s="74"/>
      <c r="C1912" s="74"/>
      <c r="D1912" s="74"/>
      <c r="E1912" s="74"/>
      <c r="F1912" s="74"/>
      <c r="G1912" s="74"/>
      <c r="H1912" s="137">
        <v>1073.1360549068531</v>
      </c>
      <c r="I1912" s="137">
        <f>SUM(I1910:I1911)</f>
        <v>1255.6286155868152</v>
      </c>
      <c r="J1912" s="95"/>
    </row>
    <row r="1913" spans="1:10" ht="13.5" thickBot="1" x14ac:dyDescent="0.35">
      <c r="A1913" s="91"/>
      <c r="B1913" s="104"/>
      <c r="C1913" s="74"/>
      <c r="D1913" s="106"/>
      <c r="E1913" s="74"/>
      <c r="F1913" s="74"/>
      <c r="G1913" s="74"/>
      <c r="H1913" s="108"/>
      <c r="I1913" s="108"/>
      <c r="J1913" s="110"/>
    </row>
    <row r="1914" spans="1:10" ht="13.5" thickTop="1" x14ac:dyDescent="0.3">
      <c r="A1914" s="91"/>
      <c r="B1914" s="74"/>
      <c r="C1914" s="74"/>
      <c r="D1914" s="74"/>
      <c r="E1914" s="74"/>
      <c r="F1914" s="74"/>
      <c r="G1914" s="76"/>
      <c r="H1914" s="76">
        <v>2201.6061534645455</v>
      </c>
      <c r="I1914" s="76">
        <f>I1912+I1907+I1899</f>
        <v>2483.1711771252767</v>
      </c>
      <c r="J1914" s="105"/>
    </row>
    <row r="1915" spans="1:10" ht="13.5" thickBot="1" x14ac:dyDescent="0.35">
      <c r="A1915" s="91"/>
      <c r="B1915" s="104" t="str">
        <f>'Unit tariffs'!$B$7</f>
        <v>Administration Levy (Indirect Cost)</v>
      </c>
      <c r="C1915" s="74"/>
      <c r="D1915" s="106">
        <f>'Unit tariffs'!$C$7</f>
        <v>0.1</v>
      </c>
      <c r="E1915" s="74" t="s">
        <v>311</v>
      </c>
      <c r="F1915" s="186">
        <f>+'Unit tariffs'!$F$7</f>
        <v>10000</v>
      </c>
      <c r="G1915" s="76"/>
      <c r="H1915" s="108">
        <v>220.16061534645456</v>
      </c>
      <c r="I1915" s="108">
        <f>IF(I1914*$D1915&gt;='Unit tariffs'!$E$7,'Unit tariffs'!$E$7,I1914*$D1915)</f>
        <v>248.31711771252768</v>
      </c>
      <c r="J1915" s="113"/>
    </row>
    <row r="1916" spans="1:10" ht="13.5" thickTop="1" x14ac:dyDescent="0.3">
      <c r="A1916" s="91"/>
      <c r="B1916" s="104" t="s">
        <v>44</v>
      </c>
      <c r="C1916" s="74"/>
      <c r="D1916" s="74"/>
      <c r="E1916" s="74"/>
      <c r="F1916" s="74"/>
      <c r="G1916" s="76"/>
      <c r="H1916" s="109">
        <v>2421.766768811</v>
      </c>
      <c r="I1916" s="109">
        <f>SUM(I1914:I1915)</f>
        <v>2731.4882948378045</v>
      </c>
      <c r="J1916" s="95"/>
    </row>
    <row r="1917" spans="1:10" ht="13" x14ac:dyDescent="0.3">
      <c r="A1917" s="91"/>
      <c r="B1917" s="74"/>
      <c r="C1917" s="74"/>
      <c r="D1917" s="74"/>
      <c r="E1917" s="74"/>
      <c r="F1917" s="74"/>
      <c r="G1917" s="74"/>
      <c r="H1917" s="74"/>
      <c r="I1917" s="74"/>
      <c r="J1917" s="95"/>
    </row>
    <row r="1918" spans="1:10" ht="13" x14ac:dyDescent="0.3">
      <c r="A1918" s="91"/>
      <c r="B1918" s="104" t="s">
        <v>45</v>
      </c>
      <c r="C1918" s="74"/>
      <c r="D1918" s="74"/>
      <c r="E1918" s="74"/>
      <c r="F1918" s="74"/>
      <c r="G1918" s="74"/>
      <c r="H1918" s="84">
        <v>2420</v>
      </c>
      <c r="I1918" s="84">
        <f>ROUND(I1916,-1)</f>
        <v>2730</v>
      </c>
      <c r="J1918" s="95"/>
    </row>
    <row r="1919" spans="1:10" ht="13" x14ac:dyDescent="0.3">
      <c r="A1919" s="91"/>
      <c r="B1919" s="74"/>
      <c r="C1919" s="74"/>
      <c r="D1919" s="74"/>
      <c r="E1919" s="74"/>
      <c r="F1919" s="74"/>
      <c r="G1919" s="74"/>
      <c r="H1919" s="76"/>
      <c r="I1919" s="76"/>
      <c r="J1919" s="95"/>
    </row>
    <row r="1920" spans="1:10" ht="13" x14ac:dyDescent="0.3">
      <c r="A1920" s="91"/>
      <c r="B1920" s="74"/>
      <c r="C1920" s="74"/>
      <c r="D1920" s="74"/>
      <c r="E1920" s="74"/>
      <c r="F1920" s="74"/>
      <c r="G1920" s="74"/>
      <c r="H1920" s="112">
        <v>0</v>
      </c>
      <c r="I1920" s="112">
        <f>(I1918-H1918)/H1918</f>
        <v>0.128099173553719</v>
      </c>
      <c r="J1920" s="95"/>
    </row>
    <row r="1921" spans="1:10" ht="13.5" thickBot="1" x14ac:dyDescent="0.35">
      <c r="A1921" s="448"/>
      <c r="B1921" s="123"/>
      <c r="C1921" s="123"/>
      <c r="D1921" s="123"/>
      <c r="E1921" s="123"/>
      <c r="F1921" s="123"/>
      <c r="G1921" s="123"/>
      <c r="H1921" s="123"/>
      <c r="I1921" s="123"/>
      <c r="J1921" s="95"/>
    </row>
    <row r="1922" spans="1:10" ht="13.5" thickTop="1" x14ac:dyDescent="0.3">
      <c r="A1922" s="91"/>
      <c r="B1922" s="74"/>
      <c r="C1922" s="74"/>
      <c r="D1922" s="74"/>
      <c r="E1922" s="74"/>
      <c r="F1922" s="74"/>
      <c r="G1922" s="74"/>
      <c r="H1922" s="74"/>
      <c r="I1922" s="74"/>
      <c r="J1922" s="95"/>
    </row>
    <row r="1923" spans="1:10" ht="13.5" thickBot="1" x14ac:dyDescent="0.35">
      <c r="A1923" s="91"/>
      <c r="B1923" s="74"/>
      <c r="C1923" s="74"/>
      <c r="D1923" s="74"/>
      <c r="E1923" s="74"/>
      <c r="F1923" s="74"/>
      <c r="G1923" s="74"/>
      <c r="H1923" s="74"/>
      <c r="I1923" s="74"/>
      <c r="J1923" s="444"/>
    </row>
    <row r="1924" spans="1:10" ht="13.5" thickTop="1" x14ac:dyDescent="0.3">
      <c r="A1924" s="445"/>
      <c r="B1924" s="120" t="s">
        <v>1</v>
      </c>
      <c r="C1924" s="120"/>
      <c r="D1924" s="120"/>
      <c r="E1924" s="120"/>
      <c r="F1924" s="120"/>
      <c r="G1924" s="120"/>
      <c r="H1924" s="120"/>
      <c r="I1924" s="120"/>
      <c r="J1924" s="95"/>
    </row>
    <row r="1925" spans="1:10" ht="13" x14ac:dyDescent="0.3">
      <c r="A1925" s="91"/>
      <c r="B1925" s="96" t="s">
        <v>495</v>
      </c>
      <c r="C1925" s="97"/>
      <c r="D1925" s="97"/>
      <c r="E1925" s="97"/>
      <c r="F1925" s="97"/>
      <c r="G1925" s="97"/>
      <c r="H1925" s="98"/>
      <c r="I1925" s="98"/>
      <c r="J1925" s="95"/>
    </row>
    <row r="1926" spans="1:10" ht="13" x14ac:dyDescent="0.3">
      <c r="A1926" s="91"/>
      <c r="B1926" s="99" t="s">
        <v>67</v>
      </c>
      <c r="C1926" s="100"/>
      <c r="D1926" s="100"/>
      <c r="E1926" s="100"/>
      <c r="F1926" s="100"/>
      <c r="G1926" s="100"/>
      <c r="H1926" s="121"/>
      <c r="I1926" s="121"/>
      <c r="J1926" s="447"/>
    </row>
    <row r="1927" spans="1:10" ht="13" x14ac:dyDescent="0.3">
      <c r="A1927" s="91"/>
      <c r="B1927" s="74"/>
      <c r="C1927" s="74"/>
      <c r="D1927" s="74"/>
      <c r="E1927" s="74"/>
      <c r="F1927" s="74"/>
      <c r="G1927" s="74"/>
      <c r="H1927" s="74"/>
      <c r="I1927" s="74"/>
      <c r="J1927" s="447" t="e">
        <f>IF(+I1995*0.12&gt;'Unit tariffs'!#REF!,'Unit tariffs'!#REF!,+I1995*0.12)</f>
        <v>#REF!</v>
      </c>
    </row>
    <row r="1928" spans="1:10" ht="13" x14ac:dyDescent="0.3">
      <c r="A1928" s="91"/>
      <c r="B1928" s="74"/>
      <c r="C1928" s="74"/>
      <c r="D1928" s="74"/>
      <c r="E1928" s="74"/>
      <c r="F1928" s="74"/>
      <c r="G1928" s="74"/>
      <c r="H1928" s="103" t="s">
        <v>451</v>
      </c>
      <c r="I1928" s="103" t="str">
        <f>+'Unit tariffs'!$F$11</f>
        <v>2026/2027</v>
      </c>
      <c r="J1928" s="105"/>
    </row>
    <row r="1929" spans="1:10" ht="13" x14ac:dyDescent="0.3">
      <c r="A1929" s="91"/>
      <c r="B1929" s="74"/>
      <c r="C1929" s="74"/>
      <c r="D1929" s="74"/>
      <c r="E1929" s="74"/>
      <c r="F1929" s="74"/>
      <c r="G1929" s="74"/>
      <c r="H1929" s="127"/>
      <c r="I1929" s="127"/>
      <c r="J1929" s="105"/>
    </row>
    <row r="1930" spans="1:10" ht="13" x14ac:dyDescent="0.3">
      <c r="A1930" s="91"/>
      <c r="B1930" s="104" t="s">
        <v>66</v>
      </c>
      <c r="C1930" s="74"/>
      <c r="D1930" s="74"/>
      <c r="E1930" s="74"/>
      <c r="F1930" s="74"/>
      <c r="G1930" s="74"/>
      <c r="H1930" s="76">
        <v>0</v>
      </c>
      <c r="I1930" s="76">
        <f>(H1930*1.07)</f>
        <v>0</v>
      </c>
      <c r="J1930" s="105"/>
    </row>
    <row r="1931" spans="1:10" ht="13" x14ac:dyDescent="0.3">
      <c r="A1931" s="91"/>
      <c r="B1931" s="74"/>
      <c r="C1931" s="74"/>
      <c r="D1931" s="74"/>
      <c r="E1931" s="74"/>
      <c r="F1931" s="74"/>
      <c r="G1931" s="74"/>
      <c r="H1931" s="127"/>
      <c r="I1931" s="127"/>
      <c r="J1931" s="95"/>
    </row>
    <row r="1932" spans="1:10" ht="13" x14ac:dyDescent="0.3">
      <c r="A1932" s="91"/>
      <c r="B1932" s="104" t="s">
        <v>62</v>
      </c>
      <c r="C1932" s="74"/>
      <c r="D1932" s="74"/>
      <c r="E1932" s="74"/>
      <c r="F1932" s="74"/>
      <c r="G1932" s="74"/>
      <c r="H1932" s="74"/>
      <c r="I1932" s="74"/>
      <c r="J1932" s="95"/>
    </row>
    <row r="1933" spans="1:10" ht="13" x14ac:dyDescent="0.3">
      <c r="A1933" s="91"/>
      <c r="B1933" s="74"/>
      <c r="C1933" s="74"/>
      <c r="D1933" s="74"/>
      <c r="E1933" s="74"/>
      <c r="F1933" s="74"/>
      <c r="G1933" s="74"/>
      <c r="H1933" s="74"/>
      <c r="I1933" s="74"/>
      <c r="J1933" s="105"/>
    </row>
    <row r="1934" spans="1:10" ht="13" x14ac:dyDescent="0.3">
      <c r="A1934" s="91"/>
      <c r="B1934" s="104" t="s">
        <v>42</v>
      </c>
      <c r="C1934" s="74"/>
      <c r="D1934" s="74"/>
      <c r="E1934" s="74"/>
      <c r="F1934" s="74"/>
      <c r="G1934" s="74"/>
      <c r="H1934" s="74"/>
      <c r="I1934" s="74"/>
      <c r="J1934" s="105"/>
    </row>
    <row r="1935" spans="1:10" ht="13" x14ac:dyDescent="0.3">
      <c r="A1935" s="91"/>
      <c r="B1935" s="74"/>
      <c r="C1935" s="74"/>
      <c r="D1935" s="74"/>
      <c r="E1935" s="74"/>
      <c r="F1935" s="74"/>
      <c r="G1935" s="74"/>
      <c r="H1935" s="74"/>
      <c r="I1935" s="74"/>
      <c r="J1935" s="105"/>
    </row>
    <row r="1936" spans="1:10" ht="13" x14ac:dyDescent="0.3">
      <c r="A1936" s="91"/>
      <c r="B1936" s="74">
        <v>2.5</v>
      </c>
      <c r="C1936" s="74" t="str">
        <f>'Unit tariffs'!B$87</f>
        <v xml:space="preserve">hour-artisan </v>
      </c>
      <c r="D1936" s="74"/>
      <c r="E1936" s="74"/>
      <c r="F1936" s="74"/>
      <c r="G1936" s="74"/>
      <c r="H1936" s="76">
        <v>807.13057932692311</v>
      </c>
      <c r="I1936" s="76">
        <f>VLOOKUP($C1936,'Unit tariffs'!$B$21:$F$123,5,FALSE)*$B1936</f>
        <v>877.98191538461549</v>
      </c>
      <c r="J1936" s="105"/>
    </row>
    <row r="1937" spans="1:10" ht="13" x14ac:dyDescent="0.3">
      <c r="A1937" s="91"/>
      <c r="B1937" s="74">
        <v>2.5</v>
      </c>
      <c r="C1937" s="74" t="str">
        <f>'Unit tariffs'!B$85</f>
        <v>hour-artisan assistant</v>
      </c>
      <c r="D1937" s="74"/>
      <c r="E1937" s="74"/>
      <c r="F1937" s="74"/>
      <c r="G1937" s="74"/>
      <c r="H1937" s="81">
        <v>321.33951923076927</v>
      </c>
      <c r="I1937" s="81">
        <f>VLOOKUP($C1937,'Unit tariffs'!$B$21:$F$123,5,FALSE)*$B1937</f>
        <v>349.56064615384616</v>
      </c>
      <c r="J1937" s="95"/>
    </row>
    <row r="1938" spans="1:10" ht="13" x14ac:dyDescent="0.3">
      <c r="A1938" s="91"/>
      <c r="B1938" s="74"/>
      <c r="C1938" s="74"/>
      <c r="D1938" s="74"/>
      <c r="E1938" s="74"/>
      <c r="F1938" s="74"/>
      <c r="G1938" s="74"/>
      <c r="H1938" s="76">
        <v>1128.4700985576924</v>
      </c>
      <c r="I1938" s="76">
        <f>SUM(I1936:I1937)</f>
        <v>1227.5425615384615</v>
      </c>
      <c r="J1938" s="95"/>
    </row>
    <row r="1939" spans="1:10" ht="13" x14ac:dyDescent="0.3">
      <c r="A1939" s="91"/>
      <c r="B1939" s="104" t="s">
        <v>43</v>
      </c>
      <c r="C1939" s="74"/>
      <c r="D1939" s="74"/>
      <c r="E1939" s="74"/>
      <c r="F1939" s="74"/>
      <c r="G1939" s="74"/>
      <c r="H1939" s="74"/>
      <c r="I1939" s="74"/>
      <c r="J1939" s="105"/>
    </row>
    <row r="1940" spans="1:10" ht="13" x14ac:dyDescent="0.3">
      <c r="A1940" s="91"/>
      <c r="B1940" s="74"/>
      <c r="C1940" s="74"/>
      <c r="D1940" s="74"/>
      <c r="E1940" s="74"/>
      <c r="F1940" s="74"/>
      <c r="G1940" s="74"/>
      <c r="H1940" s="74"/>
      <c r="I1940" s="74"/>
      <c r="J1940" s="105"/>
    </row>
    <row r="1941" spans="1:10" ht="13" x14ac:dyDescent="0.3">
      <c r="A1941" s="91"/>
      <c r="B1941" s="74">
        <v>24</v>
      </c>
      <c r="C1941" s="74" t="str">
        <f>'Unit tariffs'!B$115</f>
        <v>km-panel van</v>
      </c>
      <c r="D1941" s="74"/>
      <c r="E1941" s="74"/>
      <c r="F1941" s="74"/>
      <c r="G1941" s="74"/>
      <c r="H1941" s="76">
        <v>561.73212692749291</v>
      </c>
      <c r="I1941" s="76">
        <f>VLOOKUP($C1941,'Unit tariffs'!$B$21:$F$123,5,FALSE)*$B1941</f>
        <v>657.25769779100983</v>
      </c>
      <c r="J1941" s="105"/>
    </row>
    <row r="1942" spans="1:10" ht="13" x14ac:dyDescent="0.3">
      <c r="A1942" s="91"/>
      <c r="B1942" s="74">
        <f>+B1936</f>
        <v>2.5</v>
      </c>
      <c r="C1942" s="74" t="str">
        <f>'Unit tariffs'!B$116</f>
        <v>hour-panel van</v>
      </c>
      <c r="D1942" s="74"/>
      <c r="E1942" s="74"/>
      <c r="F1942" s="74"/>
      <c r="G1942" s="74"/>
      <c r="H1942" s="76">
        <v>511.40392797936016</v>
      </c>
      <c r="I1942" s="76">
        <f>VLOOKUP($C1942,'Unit tariffs'!$B$21:$F$123,5,FALSE)*$B1942</f>
        <v>598.37091779580521</v>
      </c>
      <c r="J1942" s="105"/>
    </row>
    <row r="1943" spans="1:10" ht="13" x14ac:dyDescent="0.3">
      <c r="A1943" s="91"/>
      <c r="B1943" s="74"/>
      <c r="C1943" s="74"/>
      <c r="D1943" s="74"/>
      <c r="E1943" s="74"/>
      <c r="F1943" s="74"/>
      <c r="G1943" s="74"/>
      <c r="H1943" s="137">
        <v>1073.1360549068531</v>
      </c>
      <c r="I1943" s="137">
        <f>SUM(I1941:I1942)</f>
        <v>1255.6286155868152</v>
      </c>
      <c r="J1943" s="105"/>
    </row>
    <row r="1944" spans="1:10" ht="13.5" thickBot="1" x14ac:dyDescent="0.35">
      <c r="A1944" s="91"/>
      <c r="B1944" s="104"/>
      <c r="C1944" s="74"/>
      <c r="D1944" s="106"/>
      <c r="E1944" s="74"/>
      <c r="F1944" s="74"/>
      <c r="G1944" s="74"/>
      <c r="H1944" s="108"/>
      <c r="I1944" s="108"/>
      <c r="J1944" s="105"/>
    </row>
    <row r="1945" spans="1:10" ht="13.5" thickTop="1" x14ac:dyDescent="0.3">
      <c r="A1945" s="91"/>
      <c r="B1945" s="74"/>
      <c r="C1945" s="74"/>
      <c r="D1945" s="74"/>
      <c r="E1945" s="74"/>
      <c r="F1945" s="74"/>
      <c r="G1945" s="76"/>
      <c r="H1945" s="76">
        <v>2201.6061534645455</v>
      </c>
      <c r="I1945" s="76">
        <f>I1943+I1938+I1930</f>
        <v>2483.1711771252767</v>
      </c>
      <c r="J1945" s="105"/>
    </row>
    <row r="1946" spans="1:10" ht="13.5" thickBot="1" x14ac:dyDescent="0.35">
      <c r="A1946" s="91"/>
      <c r="B1946" s="104" t="str">
        <f>'Unit tariffs'!$B$7</f>
        <v>Administration Levy (Indirect Cost)</v>
      </c>
      <c r="C1946" s="74"/>
      <c r="D1946" s="106">
        <f>'Unit tariffs'!$C$7</f>
        <v>0.1</v>
      </c>
      <c r="E1946" s="74" t="s">
        <v>311</v>
      </c>
      <c r="F1946" s="186">
        <f>+'Unit tariffs'!$F$7</f>
        <v>10000</v>
      </c>
      <c r="G1946" s="76"/>
      <c r="H1946" s="108">
        <v>220.16061534645456</v>
      </c>
      <c r="I1946" s="108">
        <f>IF(I1945*$D1946&gt;='Unit tariffs'!$E$7,'Unit tariffs'!$E$7,I1945*$D1946)</f>
        <v>248.31711771252768</v>
      </c>
      <c r="J1946" s="95"/>
    </row>
    <row r="1947" spans="1:10" ht="13.5" thickTop="1" x14ac:dyDescent="0.3">
      <c r="A1947" s="91"/>
      <c r="B1947" s="104" t="s">
        <v>44</v>
      </c>
      <c r="C1947" s="74"/>
      <c r="D1947" s="74"/>
      <c r="E1947" s="74"/>
      <c r="F1947" s="74"/>
      <c r="G1947" s="76"/>
      <c r="H1947" s="109">
        <v>2421.766768811</v>
      </c>
      <c r="I1947" s="109">
        <f>SUM(I1945:I1946)</f>
        <v>2731.4882948378045</v>
      </c>
      <c r="J1947" s="110"/>
    </row>
    <row r="1948" spans="1:10" ht="13" x14ac:dyDescent="0.3">
      <c r="A1948" s="91"/>
      <c r="B1948" s="74"/>
      <c r="C1948" s="74"/>
      <c r="D1948" s="74"/>
      <c r="E1948" s="74"/>
      <c r="F1948" s="74"/>
      <c r="G1948" s="74"/>
      <c r="H1948" s="74"/>
      <c r="I1948" s="74"/>
      <c r="J1948" s="105"/>
    </row>
    <row r="1949" spans="1:10" ht="13" x14ac:dyDescent="0.3">
      <c r="A1949" s="91"/>
      <c r="B1949" s="104" t="s">
        <v>45</v>
      </c>
      <c r="C1949" s="74"/>
      <c r="D1949" s="74"/>
      <c r="E1949" s="74"/>
      <c r="F1949" s="74"/>
      <c r="G1949" s="74"/>
      <c r="H1949" s="84">
        <v>2420</v>
      </c>
      <c r="I1949" s="84">
        <f>ROUND(I1947,-1)</f>
        <v>2730</v>
      </c>
      <c r="J1949" s="113"/>
    </row>
    <row r="1950" spans="1:10" ht="13.5" thickBot="1" x14ac:dyDescent="0.35">
      <c r="A1950" s="91"/>
      <c r="B1950" s="74"/>
      <c r="C1950" s="74"/>
      <c r="D1950" s="74"/>
      <c r="E1950" s="74"/>
      <c r="F1950" s="74"/>
      <c r="G1950" s="74"/>
      <c r="H1950" s="76"/>
      <c r="I1950" s="76"/>
      <c r="J1950" s="449"/>
    </row>
    <row r="1951" spans="1:10" ht="13.5" thickTop="1" x14ac:dyDescent="0.3">
      <c r="A1951" s="91"/>
      <c r="B1951" s="74"/>
      <c r="C1951" s="74"/>
      <c r="D1951" s="74"/>
      <c r="E1951" s="74"/>
      <c r="F1951" s="74"/>
      <c r="G1951" s="74"/>
      <c r="H1951" s="112">
        <v>0</v>
      </c>
      <c r="I1951" s="112">
        <f>(I1949-H1949)/H1949</f>
        <v>0.128099173553719</v>
      </c>
      <c r="J1951" s="95"/>
    </row>
    <row r="1952" spans="1:10" ht="13.5" thickBot="1" x14ac:dyDescent="0.35">
      <c r="A1952" s="448"/>
      <c r="B1952" s="123"/>
      <c r="C1952" s="123"/>
      <c r="D1952" s="123"/>
      <c r="E1952" s="123"/>
      <c r="F1952" s="123"/>
      <c r="G1952" s="123"/>
      <c r="H1952" s="123"/>
      <c r="I1952" s="123"/>
      <c r="J1952" s="95"/>
    </row>
    <row r="1953" spans="1:10" ht="13.5" thickTop="1" x14ac:dyDescent="0.3">
      <c r="A1953" s="91"/>
      <c r="B1953" s="74"/>
      <c r="C1953" s="74"/>
      <c r="D1953" s="74"/>
      <c r="E1953" s="74"/>
      <c r="F1953" s="74"/>
      <c r="G1953" s="74"/>
      <c r="H1953" s="74"/>
      <c r="I1953" s="74"/>
      <c r="J1953" s="446"/>
    </row>
    <row r="1954" spans="1:10" ht="13.5" thickBot="1" x14ac:dyDescent="0.35">
      <c r="A1954" s="91"/>
      <c r="B1954" s="74"/>
      <c r="C1954" s="74"/>
      <c r="D1954" s="74"/>
      <c r="E1954" s="74"/>
      <c r="F1954" s="74"/>
      <c r="G1954" s="74"/>
      <c r="H1954" s="74"/>
      <c r="I1954" s="74"/>
      <c r="J1954" s="95"/>
    </row>
    <row r="1955" spans="1:10" ht="13.5" thickTop="1" x14ac:dyDescent="0.3">
      <c r="A1955" s="445"/>
      <c r="B1955" s="120" t="s">
        <v>1</v>
      </c>
      <c r="C1955" s="120"/>
      <c r="D1955" s="120"/>
      <c r="E1955" s="120"/>
      <c r="F1955" s="120"/>
      <c r="G1955" s="120"/>
      <c r="H1955" s="120"/>
      <c r="I1955" s="120"/>
      <c r="J1955" s="95"/>
    </row>
    <row r="1956" spans="1:10" ht="13" x14ac:dyDescent="0.3">
      <c r="A1956" s="91"/>
      <c r="B1956" s="92" t="s">
        <v>496</v>
      </c>
      <c r="C1956" s="93"/>
      <c r="D1956" s="93"/>
      <c r="E1956" s="93"/>
      <c r="F1956" s="93"/>
      <c r="G1956" s="93"/>
      <c r="H1956" s="94"/>
      <c r="I1956" s="94"/>
      <c r="J1956" s="95"/>
    </row>
    <row r="1957" spans="1:10" ht="13" x14ac:dyDescent="0.3">
      <c r="A1957" s="91"/>
      <c r="B1957" s="104"/>
      <c r="C1957" s="74"/>
      <c r="D1957" s="74"/>
      <c r="E1957" s="74"/>
      <c r="F1957" s="74"/>
      <c r="G1957" s="74"/>
      <c r="H1957" s="74"/>
      <c r="I1957" s="74"/>
      <c r="J1957" s="444"/>
    </row>
    <row r="1958" spans="1:10" ht="13" x14ac:dyDescent="0.3">
      <c r="A1958" s="91"/>
      <c r="B1958" s="104"/>
      <c r="C1958" s="74"/>
      <c r="D1958" s="74"/>
      <c r="E1958" s="74"/>
      <c r="F1958" s="74"/>
      <c r="G1958" s="74"/>
      <c r="H1958" s="74"/>
      <c r="I1958" s="74"/>
      <c r="J1958" s="95"/>
    </row>
    <row r="1959" spans="1:10" ht="13" x14ac:dyDescent="0.3">
      <c r="A1959" s="91"/>
      <c r="B1959" s="74"/>
      <c r="C1959" s="74"/>
      <c r="D1959" s="74"/>
      <c r="E1959" s="74"/>
      <c r="F1959" s="74"/>
      <c r="G1959" s="74"/>
      <c r="H1959" s="103" t="s">
        <v>451</v>
      </c>
      <c r="I1959" s="103" t="str">
        <f>+'Unit tariffs'!$F$11</f>
        <v>2026/2027</v>
      </c>
      <c r="J1959" s="105"/>
    </row>
    <row r="1960" spans="1:10" ht="13" x14ac:dyDescent="0.3">
      <c r="A1960" s="91"/>
      <c r="B1960" s="104" t="s">
        <v>41</v>
      </c>
      <c r="C1960" s="74"/>
      <c r="D1960" s="74"/>
      <c r="E1960" s="74"/>
      <c r="F1960" s="74"/>
      <c r="G1960" s="74"/>
      <c r="H1960" s="74"/>
      <c r="I1960" s="74"/>
      <c r="J1960" s="95"/>
    </row>
    <row r="1961" spans="1:10" ht="13" x14ac:dyDescent="0.3">
      <c r="A1961" s="91"/>
      <c r="B1961" s="74"/>
      <c r="C1961" s="74"/>
      <c r="D1961" s="74"/>
      <c r="E1961" s="74"/>
      <c r="F1961" s="74"/>
      <c r="G1961" s="74"/>
      <c r="H1961" s="74"/>
      <c r="I1961" s="74"/>
      <c r="J1961" s="444" t="s">
        <v>313</v>
      </c>
    </row>
    <row r="1962" spans="1:10" ht="13" x14ac:dyDescent="0.3">
      <c r="A1962" s="91"/>
      <c r="B1962" s="74">
        <v>1</v>
      </c>
      <c r="C1962" s="74" t="str">
        <f>'Unit tariffs'!B35</f>
        <v>Prepaid meter (Split) 1 phase 59A Unique Mbani</v>
      </c>
      <c r="D1962" s="74"/>
      <c r="E1962" s="74"/>
      <c r="F1962" s="74"/>
      <c r="G1962" s="74"/>
      <c r="H1962" s="76">
        <v>2262.7591214051877</v>
      </c>
      <c r="I1962" s="76">
        <f>VLOOKUP($C1962,'Unit tariffs'!$B$21:$F$123,5,FALSE)*$B1962</f>
        <v>1214.6779749999998</v>
      </c>
      <c r="J1962" s="447" t="e">
        <f>IF(+I1962*'Unit tariffs'!#REF!&gt;'Unit tariffs'!#REF!,'Unit tariffs'!#REF!,+I1962*'Unit tariffs'!#REF!)</f>
        <v>#REF!</v>
      </c>
    </row>
    <row r="1963" spans="1:10" ht="13" x14ac:dyDescent="0.3">
      <c r="A1963" s="91"/>
      <c r="B1963" s="74">
        <v>1.6</v>
      </c>
      <c r="C1963" s="74" t="str">
        <f>'Unit tariffs'!B21</f>
        <v>Installation material</v>
      </c>
      <c r="D1963" s="74"/>
      <c r="E1963" s="74"/>
      <c r="F1963" s="74"/>
      <c r="G1963" s="74"/>
      <c r="H1963" s="81">
        <v>434.30560000000008</v>
      </c>
      <c r="I1963" s="81">
        <f>VLOOKUP($C1963,'Unit tariffs'!$B$21:$F$123,5,FALSE)*$B1963</f>
        <v>451.97320000000002</v>
      </c>
      <c r="J1963" s="447" t="e">
        <f>IF(+I1963*'Unit tariffs'!#REF!&gt;'Unit tariffs'!#REF!,'Unit tariffs'!#REF!,+I1963*'Unit tariffs'!#REF!)</f>
        <v>#REF!</v>
      </c>
    </row>
    <row r="1964" spans="1:10" ht="13" x14ac:dyDescent="0.3">
      <c r="A1964" s="91"/>
      <c r="B1964" s="74"/>
      <c r="C1964" s="74"/>
      <c r="D1964" s="74"/>
      <c r="E1964" s="74"/>
      <c r="F1964" s="74"/>
      <c r="G1964" s="76"/>
      <c r="H1964" s="76">
        <v>2697.0647214051878</v>
      </c>
      <c r="I1964" s="76">
        <f>SUM(I1962:I1963)</f>
        <v>1666.651175</v>
      </c>
      <c r="J1964" s="105"/>
    </row>
    <row r="1965" spans="1:10" ht="13" x14ac:dyDescent="0.3">
      <c r="A1965" s="91"/>
      <c r="B1965" s="104" t="s">
        <v>42</v>
      </c>
      <c r="C1965" s="74"/>
      <c r="D1965" s="74"/>
      <c r="E1965" s="74"/>
      <c r="F1965" s="74"/>
      <c r="G1965" s="74"/>
      <c r="H1965" s="74"/>
      <c r="I1965" s="74"/>
      <c r="J1965" s="95"/>
    </row>
    <row r="1966" spans="1:10" ht="13" x14ac:dyDescent="0.3">
      <c r="A1966" s="91"/>
      <c r="B1966" s="74"/>
      <c r="C1966" s="74"/>
      <c r="D1966" s="74"/>
      <c r="E1966" s="74"/>
      <c r="F1966" s="74"/>
      <c r="G1966" s="74"/>
      <c r="H1966" s="74"/>
      <c r="I1966" s="74"/>
      <c r="J1966" s="95"/>
    </row>
    <row r="1967" spans="1:10" ht="13" x14ac:dyDescent="0.3">
      <c r="A1967" s="91"/>
      <c r="B1967" s="74">
        <v>0.75</v>
      </c>
      <c r="C1967" s="74" t="str">
        <f>'Unit tariffs'!B86</f>
        <v>hour-meter assistant</v>
      </c>
      <c r="D1967" s="74"/>
      <c r="E1967" s="74"/>
      <c r="F1967" s="74"/>
      <c r="G1967" s="74"/>
      <c r="H1967" s="76">
        <v>96.401855769230792</v>
      </c>
      <c r="I1967" s="76">
        <f>VLOOKUP($C1967,'Unit tariffs'!$B$21:$F$123,5,FALSE)*$B1967</f>
        <v>104.86819384615386</v>
      </c>
      <c r="J1967" s="105"/>
    </row>
    <row r="1968" spans="1:10" ht="13" x14ac:dyDescent="0.3">
      <c r="A1968" s="91"/>
      <c r="B1968" s="74">
        <v>1</v>
      </c>
      <c r="C1968" s="74" t="str">
        <f>'Unit tariffs'!B$87</f>
        <v xml:space="preserve">hour-artisan </v>
      </c>
      <c r="D1968" s="74"/>
      <c r="E1968" s="74"/>
      <c r="F1968" s="74"/>
      <c r="G1968" s="74"/>
      <c r="H1968" s="76">
        <v>322.85223173076923</v>
      </c>
      <c r="I1968" s="76">
        <f>VLOOKUP($C1968,'Unit tariffs'!$B$21:$F$123,5,FALSE)*$B1968</f>
        <v>351.19276615384621</v>
      </c>
      <c r="J1968" s="105"/>
    </row>
    <row r="1969" spans="1:10" ht="13" x14ac:dyDescent="0.3">
      <c r="A1969" s="91"/>
      <c r="B1969" s="74">
        <v>1</v>
      </c>
      <c r="C1969" s="74" t="str">
        <f>'Unit tariffs'!B$85</f>
        <v>hour-artisan assistant</v>
      </c>
      <c r="D1969" s="74"/>
      <c r="E1969" s="74"/>
      <c r="F1969" s="74"/>
      <c r="G1969" s="74"/>
      <c r="H1969" s="81">
        <v>128.53580769230771</v>
      </c>
      <c r="I1969" s="81">
        <f>VLOOKUP($C1969,'Unit tariffs'!$B$21:$F$123,5,FALSE)*$B1969</f>
        <v>139.82425846153848</v>
      </c>
      <c r="J1969" s="105"/>
    </row>
    <row r="1970" spans="1:10" ht="13" x14ac:dyDescent="0.3">
      <c r="A1970" s="91"/>
      <c r="B1970" s="74"/>
      <c r="C1970" s="74"/>
      <c r="D1970" s="74"/>
      <c r="E1970" s="74"/>
      <c r="F1970" s="74"/>
      <c r="G1970" s="74"/>
      <c r="H1970" s="76">
        <v>547.78989519230777</v>
      </c>
      <c r="I1970" s="76">
        <f>SUM(I1967:I1969)</f>
        <v>595.88521846153856</v>
      </c>
      <c r="J1970" s="105"/>
    </row>
    <row r="1971" spans="1:10" ht="13" x14ac:dyDescent="0.3">
      <c r="A1971" s="91"/>
      <c r="B1971" s="104" t="s">
        <v>43</v>
      </c>
      <c r="C1971" s="74"/>
      <c r="D1971" s="74"/>
      <c r="E1971" s="74"/>
      <c r="F1971" s="74"/>
      <c r="G1971" s="74"/>
      <c r="H1971" s="74"/>
      <c r="I1971" s="74"/>
      <c r="J1971" s="105"/>
    </row>
    <row r="1972" spans="1:10" ht="13" x14ac:dyDescent="0.3">
      <c r="A1972" s="91"/>
      <c r="B1972" s="74"/>
      <c r="C1972" s="74"/>
      <c r="D1972" s="74"/>
      <c r="E1972" s="74"/>
      <c r="F1972" s="74"/>
      <c r="G1972" s="74"/>
      <c r="H1972" s="74"/>
      <c r="I1972" s="74"/>
      <c r="J1972" s="105"/>
    </row>
    <row r="1973" spans="1:10" ht="13" x14ac:dyDescent="0.3">
      <c r="A1973" s="91"/>
      <c r="B1973" s="74">
        <v>24</v>
      </c>
      <c r="C1973" s="74" t="str">
        <f>'Unit tariffs'!B$115</f>
        <v>km-panel van</v>
      </c>
      <c r="D1973" s="74"/>
      <c r="E1973" s="74"/>
      <c r="F1973" s="74"/>
      <c r="G1973" s="74"/>
      <c r="H1973" s="76">
        <v>561.73212692749291</v>
      </c>
      <c r="I1973" s="76">
        <f>VLOOKUP($C1973,'Unit tariffs'!$B$21:$F$123,5,FALSE)*$B1973</f>
        <v>657.25769779100983</v>
      </c>
      <c r="J1973" s="105"/>
    </row>
    <row r="1974" spans="1:10" ht="13" x14ac:dyDescent="0.3">
      <c r="A1974" s="91"/>
      <c r="B1974" s="74">
        <v>1.25</v>
      </c>
      <c r="C1974" s="74" t="str">
        <f>'Unit tariffs'!B$116</f>
        <v>hour-panel van</v>
      </c>
      <c r="D1974" s="74"/>
      <c r="E1974" s="74"/>
      <c r="F1974" s="74"/>
      <c r="G1974" s="74"/>
      <c r="H1974" s="76">
        <v>255.70196398968008</v>
      </c>
      <c r="I1974" s="76">
        <f>VLOOKUP($C1974,'Unit tariffs'!$B$21:$F$123,5,FALSE)*$B1974</f>
        <v>299.18545889790261</v>
      </c>
      <c r="J1974" s="447"/>
    </row>
    <row r="1975" spans="1:10" ht="13" x14ac:dyDescent="0.3">
      <c r="A1975" s="91"/>
      <c r="B1975" s="74"/>
      <c r="C1975" s="74"/>
      <c r="D1975" s="74"/>
      <c r="E1975" s="74"/>
      <c r="F1975" s="74"/>
      <c r="G1975" s="74"/>
      <c r="H1975" s="137">
        <v>817.43409091717297</v>
      </c>
      <c r="I1975" s="137">
        <f>SUM(I1973:I1974)</f>
        <v>956.4431566889125</v>
      </c>
      <c r="J1975" s="447"/>
    </row>
    <row r="1976" spans="1:10" ht="13.5" thickBot="1" x14ac:dyDescent="0.35">
      <c r="A1976" s="91"/>
      <c r="B1976" s="104"/>
      <c r="C1976" s="74"/>
      <c r="D1976" s="106"/>
      <c r="E1976" s="74"/>
      <c r="F1976" s="74"/>
      <c r="G1976" s="74"/>
      <c r="H1976" s="108"/>
      <c r="I1976" s="108"/>
      <c r="J1976" s="447"/>
    </row>
    <row r="1977" spans="1:10" ht="13.5" thickTop="1" x14ac:dyDescent="0.3">
      <c r="A1977" s="91"/>
      <c r="B1977" s="74"/>
      <c r="C1977" s="74"/>
      <c r="D1977" s="74"/>
      <c r="E1977" s="74"/>
      <c r="F1977" s="74"/>
      <c r="G1977" s="76"/>
      <c r="H1977" s="76">
        <v>4062.2887075146687</v>
      </c>
      <c r="I1977" s="76">
        <f>I1975+I1970+I1964</f>
        <v>3218.9795501504509</v>
      </c>
      <c r="J1977" s="105"/>
    </row>
    <row r="1978" spans="1:10" ht="13.5" thickBot="1" x14ac:dyDescent="0.35">
      <c r="A1978" s="91"/>
      <c r="B1978" s="104" t="str">
        <f>'Unit tariffs'!$B$7</f>
        <v>Administration Levy (Indirect Cost)</v>
      </c>
      <c r="C1978" s="74"/>
      <c r="D1978" s="106">
        <f>'Unit tariffs'!$C$7</f>
        <v>0.1</v>
      </c>
      <c r="E1978" s="74" t="s">
        <v>311</v>
      </c>
      <c r="F1978" s="186">
        <f>+'Unit tariffs'!$F$7</f>
        <v>10000</v>
      </c>
      <c r="G1978" s="76"/>
      <c r="H1978" s="108">
        <v>406.2288707514669</v>
      </c>
      <c r="I1978" s="108">
        <f>IF(I1977*$D1978&gt;='Unit tariffs'!$E$7,'Unit tariffs'!$E$7,I1977*$D1978)</f>
        <v>321.89795501504511</v>
      </c>
      <c r="J1978" s="105"/>
    </row>
    <row r="1979" spans="1:10" ht="13.5" thickTop="1" x14ac:dyDescent="0.3">
      <c r="A1979" s="91"/>
      <c r="B1979" s="104" t="s">
        <v>44</v>
      </c>
      <c r="C1979" s="74"/>
      <c r="D1979" s="74"/>
      <c r="E1979" s="74"/>
      <c r="F1979" s="74"/>
      <c r="G1979" s="76"/>
      <c r="H1979" s="109">
        <v>4468.5175782661354</v>
      </c>
      <c r="I1979" s="109">
        <f>SUM(I1977:I1978)</f>
        <v>3540.8775051654961</v>
      </c>
      <c r="J1979" s="105"/>
    </row>
    <row r="1980" spans="1:10" ht="13" x14ac:dyDescent="0.3">
      <c r="A1980" s="91"/>
      <c r="B1980" s="74"/>
      <c r="C1980" s="74"/>
      <c r="D1980" s="74"/>
      <c r="E1980" s="74"/>
      <c r="F1980" s="74"/>
      <c r="G1980" s="74"/>
      <c r="H1980" s="74"/>
      <c r="I1980" s="74"/>
      <c r="J1980" s="105"/>
    </row>
    <row r="1981" spans="1:10" ht="13" x14ac:dyDescent="0.3">
      <c r="A1981" s="91"/>
      <c r="B1981" s="104" t="s">
        <v>45</v>
      </c>
      <c r="C1981" s="74"/>
      <c r="D1981" s="74"/>
      <c r="E1981" s="74"/>
      <c r="F1981" s="74"/>
      <c r="G1981" s="74"/>
      <c r="H1981" s="84">
        <v>4470</v>
      </c>
      <c r="I1981" s="84">
        <f>ROUND(I1979,-1)</f>
        <v>3540</v>
      </c>
      <c r="J1981" s="95"/>
    </row>
    <row r="1982" spans="1:10" ht="13" x14ac:dyDescent="0.3">
      <c r="A1982" s="91"/>
      <c r="B1982" s="74"/>
      <c r="C1982" s="74"/>
      <c r="D1982" s="74"/>
      <c r="E1982" s="74"/>
      <c r="F1982" s="74"/>
      <c r="G1982" s="74"/>
      <c r="H1982" s="76"/>
      <c r="I1982" s="76"/>
      <c r="J1982" s="95"/>
    </row>
    <row r="1983" spans="1:10" ht="13" x14ac:dyDescent="0.3">
      <c r="A1983" s="91"/>
      <c r="B1983" s="74"/>
      <c r="C1983" s="74"/>
      <c r="D1983" s="74"/>
      <c r="E1983" s="74"/>
      <c r="F1983" s="74"/>
      <c r="G1983" s="74"/>
      <c r="H1983" s="112">
        <v>0</v>
      </c>
      <c r="I1983" s="112">
        <f>(I1981-H1981)/H1981</f>
        <v>-0.20805369127516779</v>
      </c>
      <c r="J1983" s="105"/>
    </row>
    <row r="1984" spans="1:10" ht="13.5" thickBot="1" x14ac:dyDescent="0.35">
      <c r="A1984" s="448"/>
      <c r="B1984" s="123"/>
      <c r="C1984" s="123"/>
      <c r="D1984" s="123"/>
      <c r="E1984" s="123"/>
      <c r="F1984" s="123"/>
      <c r="G1984" s="123"/>
      <c r="H1984" s="123"/>
      <c r="I1984" s="123"/>
      <c r="J1984" s="105"/>
    </row>
    <row r="1985" spans="1:10" ht="13.5" thickTop="1" x14ac:dyDescent="0.3">
      <c r="A1985" s="91"/>
      <c r="B1985" s="74"/>
      <c r="C1985" s="74"/>
      <c r="D1985" s="74"/>
      <c r="E1985" s="74"/>
      <c r="F1985" s="74"/>
      <c r="G1985" s="74"/>
      <c r="H1985" s="74"/>
      <c r="I1985" s="74"/>
      <c r="J1985" s="105"/>
    </row>
    <row r="1986" spans="1:10" ht="13.5" thickBot="1" x14ac:dyDescent="0.35">
      <c r="A1986" s="91"/>
      <c r="B1986" s="74"/>
      <c r="C1986" s="74"/>
      <c r="D1986" s="74"/>
      <c r="E1986" s="74"/>
      <c r="F1986" s="74"/>
      <c r="G1986" s="74"/>
      <c r="H1986" s="74"/>
      <c r="I1986" s="74"/>
      <c r="J1986" s="105"/>
    </row>
    <row r="1987" spans="1:10" ht="13.5" thickTop="1" x14ac:dyDescent="0.3">
      <c r="A1987" s="445"/>
      <c r="B1987" s="120" t="s">
        <v>1</v>
      </c>
      <c r="C1987" s="120"/>
      <c r="D1987" s="120"/>
      <c r="E1987" s="120"/>
      <c r="F1987" s="120"/>
      <c r="G1987" s="120"/>
      <c r="H1987" s="120"/>
      <c r="I1987" s="120"/>
      <c r="J1987" s="105"/>
    </row>
    <row r="1988" spans="1:10" ht="13" x14ac:dyDescent="0.3">
      <c r="A1988" s="91"/>
      <c r="B1988" s="92" t="s">
        <v>497</v>
      </c>
      <c r="C1988" s="93"/>
      <c r="D1988" s="93"/>
      <c r="E1988" s="93"/>
      <c r="F1988" s="93"/>
      <c r="G1988" s="93"/>
      <c r="H1988" s="94"/>
      <c r="I1988" s="94"/>
      <c r="J1988" s="105"/>
    </row>
    <row r="1989" spans="1:10" ht="13" x14ac:dyDescent="0.3">
      <c r="A1989" s="91"/>
      <c r="B1989" s="104"/>
      <c r="C1989" s="74"/>
      <c r="D1989" s="74"/>
      <c r="E1989" s="74"/>
      <c r="F1989" s="74"/>
      <c r="G1989" s="74"/>
      <c r="H1989" s="74"/>
      <c r="I1989" s="74"/>
      <c r="J1989" s="105"/>
    </row>
    <row r="1990" spans="1:10" ht="13" x14ac:dyDescent="0.3">
      <c r="A1990" s="91"/>
      <c r="B1990" s="104"/>
      <c r="C1990" s="74"/>
      <c r="D1990" s="74"/>
      <c r="E1990" s="74"/>
      <c r="F1990" s="74"/>
      <c r="G1990" s="74"/>
      <c r="H1990" s="74"/>
      <c r="I1990" s="74"/>
      <c r="J1990" s="105"/>
    </row>
    <row r="1991" spans="1:10" ht="13" x14ac:dyDescent="0.3">
      <c r="A1991" s="91"/>
      <c r="B1991" s="74"/>
      <c r="C1991" s="74"/>
      <c r="D1991" s="74"/>
      <c r="E1991" s="74"/>
      <c r="F1991" s="74"/>
      <c r="G1991" s="74"/>
      <c r="H1991" s="103" t="s">
        <v>451</v>
      </c>
      <c r="I1991" s="103" t="str">
        <f>+'Unit tariffs'!$F$11</f>
        <v>2026/2027</v>
      </c>
      <c r="J1991" s="105"/>
    </row>
    <row r="1992" spans="1:10" ht="13" x14ac:dyDescent="0.3">
      <c r="A1992" s="91"/>
      <c r="B1992" s="104" t="s">
        <v>41</v>
      </c>
      <c r="C1992" s="74"/>
      <c r="D1992" s="74"/>
      <c r="E1992" s="74"/>
      <c r="F1992" s="74"/>
      <c r="G1992" s="74"/>
      <c r="H1992" s="74"/>
      <c r="I1992" s="74"/>
      <c r="J1992" s="105"/>
    </row>
    <row r="1993" spans="1:10" ht="13" x14ac:dyDescent="0.3">
      <c r="A1993" s="91"/>
      <c r="B1993" s="74"/>
      <c r="C1993" s="74"/>
      <c r="D1993" s="74"/>
      <c r="E1993" s="74"/>
      <c r="F1993" s="74"/>
      <c r="G1993" s="74"/>
      <c r="H1993" s="74"/>
      <c r="I1993" s="74"/>
      <c r="J1993" s="444" t="s">
        <v>313</v>
      </c>
    </row>
    <row r="1994" spans="1:10" ht="13" x14ac:dyDescent="0.3">
      <c r="A1994" s="91"/>
      <c r="B1994" s="74">
        <v>1</v>
      </c>
      <c r="C1994" s="74" t="str">
        <f>+'Unit tariffs'!B36</f>
        <v xml:space="preserve">Prepaid meter (Split) 3 phase - </v>
      </c>
      <c r="D1994" s="74"/>
      <c r="E1994" s="74"/>
      <c r="F1994" s="74"/>
      <c r="G1994" s="74"/>
      <c r="H1994" s="189">
        <v>7323.5537155157153</v>
      </c>
      <c r="I1994" s="189">
        <f>VLOOKUP($C1994,'Unit tariffs'!$B$21:$F$123,5,FALSE)*$B1994</f>
        <v>0</v>
      </c>
      <c r="J1994" s="447" t="e">
        <f>IF(+I1994*'Unit tariffs'!#REF!&gt;'Unit tariffs'!#REF!,'Unit tariffs'!#REF!,+I1994*'Unit tariffs'!#REF!)</f>
        <v>#REF!</v>
      </c>
    </row>
    <row r="1995" spans="1:10" ht="13" x14ac:dyDescent="0.3">
      <c r="A1995" s="91"/>
      <c r="B1995" s="74">
        <v>1</v>
      </c>
      <c r="C1995" s="74" t="str">
        <f>'Unit tariffs'!B21</f>
        <v>Installation material</v>
      </c>
      <c r="D1995" s="74"/>
      <c r="E1995" s="74"/>
      <c r="F1995" s="74"/>
      <c r="G1995" s="74"/>
      <c r="H1995" s="81">
        <v>271.44100000000003</v>
      </c>
      <c r="I1995" s="81">
        <f>VLOOKUP($C1995,'Unit tariffs'!$B$21:$F$123,5,FALSE)*$B1995</f>
        <v>282.48325</v>
      </c>
      <c r="J1995" s="447" t="e">
        <f>IF(+I1995*'Unit tariffs'!#REF!&gt;'Unit tariffs'!#REF!,'Unit tariffs'!#REF!,+I1995*'Unit tariffs'!#REF!)</f>
        <v>#REF!</v>
      </c>
    </row>
    <row r="1996" spans="1:10" ht="13" x14ac:dyDescent="0.3">
      <c r="A1996" s="91"/>
      <c r="B1996" s="74"/>
      <c r="C1996" s="74"/>
      <c r="D1996" s="74"/>
      <c r="E1996" s="74"/>
      <c r="F1996" s="74"/>
      <c r="G1996" s="76"/>
      <c r="H1996" s="76">
        <v>7594.9947155157151</v>
      </c>
      <c r="I1996" s="76">
        <f>SUM(I1994:I1995)</f>
        <v>282.48325</v>
      </c>
      <c r="J1996" s="105"/>
    </row>
    <row r="1997" spans="1:10" ht="13" x14ac:dyDescent="0.3">
      <c r="A1997" s="91"/>
      <c r="B1997" s="104" t="s">
        <v>42</v>
      </c>
      <c r="C1997" s="74"/>
      <c r="D1997" s="74"/>
      <c r="E1997" s="74"/>
      <c r="F1997" s="74"/>
      <c r="G1997" s="74"/>
      <c r="H1997" s="74"/>
      <c r="I1997" s="74"/>
      <c r="J1997" s="95"/>
    </row>
    <row r="1998" spans="1:10" ht="13" x14ac:dyDescent="0.3">
      <c r="A1998" s="91"/>
      <c r="B1998" s="74"/>
      <c r="C1998" s="74"/>
      <c r="D1998" s="74"/>
      <c r="E1998" s="74"/>
      <c r="F1998" s="74"/>
      <c r="G1998" s="74"/>
      <c r="H1998" s="74"/>
      <c r="I1998" s="74"/>
      <c r="J1998" s="110"/>
    </row>
    <row r="1999" spans="1:10" ht="13" x14ac:dyDescent="0.3">
      <c r="A1999" s="91"/>
      <c r="B1999" s="74">
        <v>0.75</v>
      </c>
      <c r="C1999" s="74" t="str">
        <f>'Unit tariffs'!B86</f>
        <v>hour-meter assistant</v>
      </c>
      <c r="D1999" s="74"/>
      <c r="E1999" s="74"/>
      <c r="F1999" s="74"/>
      <c r="G1999" s="74"/>
      <c r="H1999" s="76">
        <v>96.401855769230792</v>
      </c>
      <c r="I1999" s="76">
        <f>VLOOKUP($C1999,'Unit tariffs'!$B$21:$F$123,5,FALSE)*$B1999</f>
        <v>104.86819384615386</v>
      </c>
      <c r="J1999" s="105"/>
    </row>
    <row r="2000" spans="1:10" ht="13" x14ac:dyDescent="0.3">
      <c r="A2000" s="91"/>
      <c r="B2000" s="74">
        <v>2</v>
      </c>
      <c r="C2000" s="74" t="str">
        <f>'Unit tariffs'!B$87</f>
        <v xml:space="preserve">hour-artisan </v>
      </c>
      <c r="D2000" s="74"/>
      <c r="E2000" s="74"/>
      <c r="F2000" s="74"/>
      <c r="G2000" s="74"/>
      <c r="H2000" s="76">
        <v>645.70446346153847</v>
      </c>
      <c r="I2000" s="76">
        <f>VLOOKUP($C2000,'Unit tariffs'!$B$21:$F$123,5,FALSE)*$B2000</f>
        <v>702.38553230769242</v>
      </c>
      <c r="J2000" s="113"/>
    </row>
    <row r="2001" spans="1:10" ht="13" x14ac:dyDescent="0.3">
      <c r="A2001" s="91"/>
      <c r="B2001" s="74">
        <v>2</v>
      </c>
      <c r="C2001" s="74" t="str">
        <f>'Unit tariffs'!B$85</f>
        <v>hour-artisan assistant</v>
      </c>
      <c r="D2001" s="74"/>
      <c r="E2001" s="74"/>
      <c r="F2001" s="74"/>
      <c r="G2001" s="74"/>
      <c r="H2001" s="81">
        <v>257.07161538461543</v>
      </c>
      <c r="I2001" s="81">
        <f>VLOOKUP($C2001,'Unit tariffs'!$B$21:$F$123,5,FALSE)*$B2001</f>
        <v>279.64851692307695</v>
      </c>
      <c r="J2001" s="95"/>
    </row>
    <row r="2002" spans="1:10" ht="13" x14ac:dyDescent="0.3">
      <c r="A2002" s="91"/>
      <c r="B2002" s="74"/>
      <c r="C2002" s="74"/>
      <c r="D2002" s="74"/>
      <c r="E2002" s="74"/>
      <c r="F2002" s="74"/>
      <c r="G2002" s="74"/>
      <c r="H2002" s="76">
        <v>999.17793461538463</v>
      </c>
      <c r="I2002" s="76">
        <f>SUM(I1999:I2001)</f>
        <v>1086.9022430769232</v>
      </c>
      <c r="J2002" s="95"/>
    </row>
    <row r="2003" spans="1:10" ht="13" x14ac:dyDescent="0.3">
      <c r="A2003" s="91"/>
      <c r="B2003" s="104" t="s">
        <v>43</v>
      </c>
      <c r="C2003" s="74"/>
      <c r="D2003" s="74"/>
      <c r="E2003" s="74"/>
      <c r="F2003" s="74"/>
      <c r="G2003" s="74"/>
      <c r="H2003" s="74"/>
      <c r="I2003" s="74"/>
      <c r="J2003" s="95"/>
    </row>
    <row r="2004" spans="1:10" ht="13" x14ac:dyDescent="0.3">
      <c r="A2004" s="91"/>
      <c r="B2004" s="74"/>
      <c r="C2004" s="74"/>
      <c r="D2004" s="74"/>
      <c r="E2004" s="74"/>
      <c r="F2004" s="74"/>
      <c r="G2004" s="74"/>
      <c r="H2004" s="74"/>
      <c r="I2004" s="74"/>
      <c r="J2004" s="95"/>
    </row>
    <row r="2005" spans="1:10" ht="13" x14ac:dyDescent="0.3">
      <c r="A2005" s="91"/>
      <c r="B2005" s="74">
        <v>24</v>
      </c>
      <c r="C2005" s="74" t="str">
        <f>'Unit tariffs'!B$115</f>
        <v>km-panel van</v>
      </c>
      <c r="D2005" s="74"/>
      <c r="E2005" s="74"/>
      <c r="F2005" s="74"/>
      <c r="G2005" s="74"/>
      <c r="H2005" s="76">
        <v>561.73212692749291</v>
      </c>
      <c r="I2005" s="76">
        <f>VLOOKUP($C2005,'Unit tariffs'!$B$21:$F$123,5,FALSE)*$B2005</f>
        <v>657.25769779100983</v>
      </c>
      <c r="J2005" s="95"/>
    </row>
    <row r="2006" spans="1:10" ht="13" x14ac:dyDescent="0.3">
      <c r="A2006" s="91"/>
      <c r="B2006" s="74">
        <f>+B2000</f>
        <v>2</v>
      </c>
      <c r="C2006" s="74" t="str">
        <f>'Unit tariffs'!B$116</f>
        <v>hour-panel van</v>
      </c>
      <c r="D2006" s="74"/>
      <c r="E2006" s="74"/>
      <c r="F2006" s="74"/>
      <c r="G2006" s="74"/>
      <c r="H2006" s="76">
        <v>409.12314238348813</v>
      </c>
      <c r="I2006" s="76">
        <f>VLOOKUP($C2006,'Unit tariffs'!$B$21:$F$123,5,FALSE)*$B2006</f>
        <v>478.69673423664415</v>
      </c>
      <c r="J2006" s="95"/>
    </row>
    <row r="2007" spans="1:10" ht="13" x14ac:dyDescent="0.3">
      <c r="A2007" s="91"/>
      <c r="B2007" s="74"/>
      <c r="C2007" s="74"/>
      <c r="D2007" s="74"/>
      <c r="E2007" s="74"/>
      <c r="F2007" s="74"/>
      <c r="G2007" s="74"/>
      <c r="H2007" s="137">
        <v>970.85526931098104</v>
      </c>
      <c r="I2007" s="137">
        <f>SUM(I2005:I2006)</f>
        <v>1135.9544320276541</v>
      </c>
      <c r="J2007" s="95"/>
    </row>
    <row r="2008" spans="1:10" ht="13.5" thickBot="1" x14ac:dyDescent="0.35">
      <c r="A2008" s="91"/>
      <c r="B2008" s="104"/>
      <c r="C2008" s="74"/>
      <c r="D2008" s="106"/>
      <c r="E2008" s="74"/>
      <c r="F2008" s="74"/>
      <c r="G2008" s="74"/>
      <c r="H2008" s="108"/>
      <c r="I2008" s="108"/>
      <c r="J2008" s="444"/>
    </row>
    <row r="2009" spans="1:10" ht="13.5" thickTop="1" x14ac:dyDescent="0.3">
      <c r="A2009" s="91"/>
      <c r="B2009" s="74"/>
      <c r="C2009" s="74"/>
      <c r="D2009" s="74"/>
      <c r="E2009" s="74"/>
      <c r="F2009" s="74"/>
      <c r="G2009" s="76"/>
      <c r="H2009" s="76">
        <v>9565.02791944208</v>
      </c>
      <c r="I2009" s="76">
        <f>I2007+I2002+I1996</f>
        <v>2505.3399251045776</v>
      </c>
      <c r="J2009" s="95"/>
    </row>
    <row r="2010" spans="1:10" ht="13.5" thickBot="1" x14ac:dyDescent="0.35">
      <c r="A2010" s="91"/>
      <c r="B2010" s="104" t="str">
        <f>'Unit tariffs'!$B$7</f>
        <v>Administration Levy (Indirect Cost)</v>
      </c>
      <c r="C2010" s="74"/>
      <c r="D2010" s="106">
        <f>'Unit tariffs'!$C$7</f>
        <v>0.1</v>
      </c>
      <c r="E2010" s="74" t="s">
        <v>311</v>
      </c>
      <c r="F2010" s="186">
        <f>+'Unit tariffs'!$F$7</f>
        <v>10000</v>
      </c>
      <c r="G2010" s="76"/>
      <c r="H2010" s="108">
        <v>956.50279194420807</v>
      </c>
      <c r="I2010" s="108">
        <f>IF(I2009*$D2010&gt;='Unit tariffs'!$E$7,'Unit tariffs'!$E$7,I2009*$D2010)</f>
        <v>250.53399251045778</v>
      </c>
      <c r="J2010" s="105"/>
    </row>
    <row r="2011" spans="1:10" ht="13.5" thickTop="1" x14ac:dyDescent="0.3">
      <c r="A2011" s="91"/>
      <c r="B2011" s="104" t="s">
        <v>44</v>
      </c>
      <c r="C2011" s="74"/>
      <c r="D2011" s="74"/>
      <c r="E2011" s="74"/>
      <c r="F2011" s="74"/>
      <c r="G2011" s="76"/>
      <c r="H2011" s="109">
        <v>10521.530711386287</v>
      </c>
      <c r="I2011" s="109">
        <f>SUM(I2009:I2010)</f>
        <v>2755.8739176150352</v>
      </c>
      <c r="J2011" s="95"/>
    </row>
    <row r="2012" spans="1:10" ht="13" x14ac:dyDescent="0.3">
      <c r="A2012" s="91"/>
      <c r="B2012" s="74"/>
      <c r="C2012" s="74"/>
      <c r="D2012" s="74"/>
      <c r="E2012" s="74"/>
      <c r="F2012" s="74"/>
      <c r="G2012" s="74"/>
      <c r="H2012" s="74"/>
      <c r="I2012" s="74"/>
      <c r="J2012" s="95"/>
    </row>
    <row r="2013" spans="1:10" ht="13" x14ac:dyDescent="0.3">
      <c r="A2013" s="91"/>
      <c r="B2013" s="104" t="s">
        <v>45</v>
      </c>
      <c r="C2013" s="74"/>
      <c r="D2013" s="74"/>
      <c r="E2013" s="74"/>
      <c r="F2013" s="74"/>
      <c r="G2013" s="74"/>
      <c r="H2013" s="84">
        <v>10520</v>
      </c>
      <c r="I2013" s="84">
        <f>ROUND(I2011,-1)</f>
        <v>2760</v>
      </c>
      <c r="J2013" s="105"/>
    </row>
    <row r="2014" spans="1:10" ht="13" x14ac:dyDescent="0.3">
      <c r="A2014" s="91"/>
      <c r="B2014" s="74"/>
      <c r="C2014" s="74"/>
      <c r="D2014" s="74"/>
      <c r="E2014" s="74"/>
      <c r="F2014" s="74"/>
      <c r="G2014" s="74"/>
      <c r="H2014" s="76"/>
      <c r="I2014" s="76"/>
      <c r="J2014" s="105"/>
    </row>
    <row r="2015" spans="1:10" ht="13" x14ac:dyDescent="0.3">
      <c r="A2015" s="91"/>
      <c r="B2015" s="74"/>
      <c r="C2015" s="74"/>
      <c r="D2015" s="74"/>
      <c r="E2015" s="74"/>
      <c r="F2015" s="74"/>
      <c r="G2015" s="74"/>
      <c r="H2015" s="112">
        <v>0</v>
      </c>
      <c r="I2015" s="112">
        <f>(I2013-H2013)/H2013</f>
        <v>-0.73764258555133078</v>
      </c>
      <c r="J2015" s="105"/>
    </row>
    <row r="2016" spans="1:10" ht="13.5" thickBot="1" x14ac:dyDescent="0.35">
      <c r="A2016" s="448"/>
      <c r="B2016" s="123"/>
      <c r="C2016" s="123"/>
      <c r="D2016" s="123"/>
      <c r="E2016" s="123"/>
      <c r="F2016" s="123"/>
      <c r="G2016" s="123"/>
      <c r="H2016" s="123"/>
      <c r="I2016" s="123"/>
      <c r="J2016" s="105"/>
    </row>
    <row r="2017" spans="1:10" ht="13.5" thickTop="1" x14ac:dyDescent="0.3">
      <c r="A2017" s="91"/>
      <c r="B2017" s="74"/>
      <c r="C2017" s="74"/>
      <c r="D2017" s="74"/>
      <c r="E2017" s="74"/>
      <c r="F2017" s="74"/>
      <c r="G2017" s="74"/>
      <c r="H2017" s="74"/>
      <c r="I2017" s="74"/>
      <c r="J2017" s="105"/>
    </row>
    <row r="2018" spans="1:10" ht="13.5" thickBot="1" x14ac:dyDescent="0.35">
      <c r="A2018" s="91"/>
      <c r="B2018" s="74"/>
      <c r="C2018" s="74"/>
      <c r="D2018" s="74"/>
      <c r="E2018" s="74"/>
      <c r="F2018" s="74"/>
      <c r="G2018" s="74"/>
      <c r="H2018" s="74"/>
      <c r="I2018" s="74"/>
      <c r="J2018" s="95"/>
    </row>
    <row r="2019" spans="1:10" ht="13.5" thickTop="1" x14ac:dyDescent="0.3">
      <c r="A2019" s="445"/>
      <c r="B2019" s="120" t="s">
        <v>1</v>
      </c>
      <c r="C2019" s="120"/>
      <c r="D2019" s="120"/>
      <c r="E2019" s="120"/>
      <c r="F2019" s="120"/>
      <c r="G2019" s="120"/>
      <c r="H2019" s="120"/>
      <c r="I2019" s="120"/>
      <c r="J2019" s="95"/>
    </row>
    <row r="2020" spans="1:10" ht="13" x14ac:dyDescent="0.3">
      <c r="A2020" s="91"/>
      <c r="B2020" s="92" t="s">
        <v>498</v>
      </c>
      <c r="C2020" s="93"/>
      <c r="D2020" s="93"/>
      <c r="E2020" s="93"/>
      <c r="F2020" s="93"/>
      <c r="G2020" s="93"/>
      <c r="H2020" s="94"/>
      <c r="I2020" s="94"/>
      <c r="J2020" s="105"/>
    </row>
    <row r="2021" spans="1:10" ht="13" x14ac:dyDescent="0.3">
      <c r="A2021" s="91"/>
      <c r="B2021" s="104"/>
      <c r="C2021" s="74"/>
      <c r="D2021" s="74"/>
      <c r="E2021" s="74"/>
      <c r="F2021" s="74"/>
      <c r="G2021" s="74"/>
      <c r="H2021" s="74"/>
      <c r="I2021" s="74"/>
      <c r="J2021" s="105"/>
    </row>
    <row r="2022" spans="1:10" ht="13" x14ac:dyDescent="0.3">
      <c r="A2022" s="91"/>
      <c r="B2022" s="104" t="s">
        <v>247</v>
      </c>
      <c r="C2022" s="74"/>
      <c r="D2022" s="74"/>
      <c r="E2022" s="74"/>
      <c r="F2022" s="74"/>
      <c r="G2022" s="74"/>
      <c r="H2022" s="74"/>
      <c r="I2022" s="74"/>
      <c r="J2022" s="105"/>
    </row>
    <row r="2023" spans="1:10" ht="13" x14ac:dyDescent="0.3">
      <c r="A2023" s="91"/>
      <c r="C2023" s="74"/>
      <c r="D2023" s="74"/>
      <c r="E2023" s="74"/>
      <c r="F2023" s="74"/>
      <c r="G2023" s="74"/>
      <c r="H2023" s="103" t="s">
        <v>451</v>
      </c>
      <c r="I2023" s="103" t="str">
        <f>+'Unit tariffs'!$F$11</f>
        <v>2026/2027</v>
      </c>
      <c r="J2023" s="105"/>
    </row>
    <row r="2024" spans="1:10" ht="13" x14ac:dyDescent="0.3">
      <c r="A2024" s="91"/>
      <c r="B2024" s="104" t="s">
        <v>62</v>
      </c>
      <c r="C2024" s="74"/>
      <c r="D2024" s="74"/>
      <c r="E2024" s="74"/>
      <c r="F2024" s="74"/>
      <c r="G2024" s="74"/>
      <c r="H2024" s="74"/>
      <c r="I2024" s="74"/>
      <c r="J2024" s="105"/>
    </row>
    <row r="2025" spans="1:10" ht="13" x14ac:dyDescent="0.3">
      <c r="A2025" s="91"/>
      <c r="B2025" s="74"/>
      <c r="C2025" s="74"/>
      <c r="D2025" s="74"/>
      <c r="E2025" s="74"/>
      <c r="F2025" s="74"/>
      <c r="G2025" s="76"/>
      <c r="H2025" s="76"/>
      <c r="I2025" s="76"/>
      <c r="J2025" s="105"/>
    </row>
    <row r="2026" spans="1:10" ht="13" x14ac:dyDescent="0.3">
      <c r="A2026" s="91"/>
      <c r="B2026" s="104" t="s">
        <v>42</v>
      </c>
      <c r="C2026" s="74"/>
      <c r="D2026" s="74"/>
      <c r="E2026" s="74"/>
      <c r="F2026" s="74"/>
      <c r="G2026" s="74"/>
      <c r="H2026" s="74"/>
      <c r="I2026" s="74"/>
      <c r="J2026" s="105"/>
    </row>
    <row r="2027" spans="1:10" ht="13" x14ac:dyDescent="0.3">
      <c r="A2027" s="91"/>
      <c r="B2027" s="74"/>
      <c r="C2027" s="74"/>
      <c r="D2027" s="74"/>
      <c r="E2027" s="74"/>
      <c r="F2027" s="74"/>
      <c r="G2027" s="74"/>
      <c r="H2027" s="74"/>
      <c r="I2027" s="74"/>
      <c r="J2027" s="447"/>
    </row>
    <row r="2028" spans="1:10" ht="13" x14ac:dyDescent="0.3">
      <c r="A2028" s="91"/>
      <c r="B2028" s="74">
        <v>2</v>
      </c>
      <c r="C2028" s="74" t="str">
        <f>'Unit tariffs'!B91</f>
        <v>hour-First Eng Assistant</v>
      </c>
      <c r="D2028" s="74"/>
      <c r="E2028" s="74"/>
      <c r="F2028" s="74"/>
      <c r="G2028" s="74"/>
      <c r="H2028" s="76">
        <v>684.64114615384619</v>
      </c>
      <c r="I2028" s="76">
        <f>VLOOKUP($C2028,'Unit tariffs'!$B$21:$F$123,5,FALSE)*$B2028</f>
        <v>842.7119815384616</v>
      </c>
      <c r="J2028" s="447"/>
    </row>
    <row r="2029" spans="1:10" ht="13" x14ac:dyDescent="0.3">
      <c r="A2029" s="91"/>
      <c r="B2029" s="74">
        <v>2</v>
      </c>
      <c r="C2029" s="74" t="s">
        <v>68</v>
      </c>
      <c r="D2029" s="74"/>
      <c r="E2029" s="74"/>
      <c r="F2029" s="74"/>
      <c r="G2029" s="74"/>
      <c r="H2029" s="76">
        <v>684.64114615384619</v>
      </c>
      <c r="I2029" s="76">
        <f>VLOOKUP($C2029,'Unit tariffs'!$B$21:$F$123,5,FALSE)*$B2029</f>
        <v>948.69216923076931</v>
      </c>
      <c r="J2029" s="447"/>
    </row>
    <row r="2030" spans="1:10" ht="13" x14ac:dyDescent="0.3">
      <c r="A2030" s="91"/>
      <c r="B2030" s="74">
        <v>16</v>
      </c>
      <c r="C2030" s="74" t="s">
        <v>69</v>
      </c>
      <c r="D2030" s="74"/>
      <c r="E2030" s="74"/>
      <c r="F2030" s="74"/>
      <c r="G2030" s="74"/>
      <c r="H2030" s="202">
        <v>3058.0781076923081</v>
      </c>
      <c r="I2030" s="202">
        <f>VLOOKUP($C2030,'Unit tariffs'!$B$21:$F$123,5,FALSE)*$B2030</f>
        <v>3764.2785230769236</v>
      </c>
      <c r="J2030" s="105"/>
    </row>
    <row r="2031" spans="1:10" ht="13" x14ac:dyDescent="0.3">
      <c r="A2031" s="91"/>
      <c r="B2031" s="74">
        <v>2</v>
      </c>
      <c r="C2031" s="74" t="str">
        <f>'Unit tariffs'!B89</f>
        <v xml:space="preserve">hour-Eng asst </v>
      </c>
      <c r="D2031" s="74"/>
      <c r="E2031" s="74"/>
      <c r="F2031" s="74"/>
      <c r="G2031" s="74"/>
      <c r="H2031" s="81">
        <v>531.13215576923085</v>
      </c>
      <c r="I2031" s="81">
        <f>VLOOKUP($C2031,'Unit tariffs'!$B$21:$F$123,5,FALSE)*$B2031</f>
        <v>613.64124923076929</v>
      </c>
      <c r="J2031" s="105"/>
    </row>
    <row r="2032" spans="1:10" ht="13" x14ac:dyDescent="0.3">
      <c r="A2032" s="91"/>
      <c r="B2032" s="74"/>
      <c r="C2032" s="74"/>
      <c r="D2032" s="74"/>
      <c r="E2032" s="74"/>
      <c r="F2032" s="74"/>
      <c r="G2032" s="74" t="s">
        <v>44</v>
      </c>
      <c r="H2032" s="76">
        <v>4958.4925557692313</v>
      </c>
      <c r="I2032" s="76">
        <f>SUM(I2028:I2031)</f>
        <v>6169.3239230769241</v>
      </c>
      <c r="J2032" s="105"/>
    </row>
    <row r="2033" spans="1:10" ht="13" x14ac:dyDescent="0.3">
      <c r="A2033" s="91"/>
      <c r="B2033" s="104" t="s">
        <v>70</v>
      </c>
      <c r="C2033" s="74"/>
      <c r="D2033" s="74"/>
      <c r="E2033" s="74"/>
      <c r="F2033" s="74"/>
      <c r="G2033" s="74"/>
      <c r="H2033" s="74"/>
      <c r="I2033" s="74"/>
      <c r="J2033" s="105"/>
    </row>
    <row r="2034" spans="1:10" ht="13" x14ac:dyDescent="0.3">
      <c r="A2034" s="91"/>
      <c r="B2034" s="74"/>
      <c r="C2034" s="74"/>
      <c r="D2034" s="74"/>
      <c r="E2034" s="74"/>
      <c r="F2034" s="74"/>
      <c r="G2034" s="74"/>
      <c r="H2034" s="74"/>
      <c r="I2034" s="74"/>
      <c r="J2034" s="95"/>
    </row>
    <row r="2035" spans="1:10" ht="13" x14ac:dyDescent="0.3">
      <c r="A2035" s="91"/>
      <c r="B2035" s="74">
        <v>1</v>
      </c>
      <c r="C2035" s="74" t="s">
        <v>71</v>
      </c>
      <c r="D2035" s="74"/>
      <c r="E2035" s="74"/>
      <c r="F2035" s="74"/>
      <c r="G2035" s="74"/>
      <c r="H2035" s="76">
        <v>0</v>
      </c>
      <c r="I2035" s="76">
        <f>H2035*1.07</f>
        <v>0</v>
      </c>
      <c r="J2035" s="95"/>
    </row>
    <row r="2036" spans="1:10" ht="13" x14ac:dyDescent="0.3">
      <c r="A2036" s="91"/>
      <c r="B2036" s="74">
        <v>1</v>
      </c>
      <c r="C2036" s="74" t="s">
        <v>72</v>
      </c>
      <c r="D2036" s="74"/>
      <c r="E2036" s="74"/>
      <c r="F2036" s="74"/>
      <c r="G2036" s="74"/>
      <c r="H2036" s="76">
        <v>0</v>
      </c>
      <c r="I2036" s="76">
        <f>H2036*1.07</f>
        <v>0</v>
      </c>
      <c r="J2036" s="105"/>
    </row>
    <row r="2037" spans="1:10" ht="13" x14ac:dyDescent="0.3">
      <c r="A2037" s="91"/>
      <c r="B2037" s="74">
        <v>1</v>
      </c>
      <c r="C2037" s="74" t="s">
        <v>73</v>
      </c>
      <c r="D2037" s="74"/>
      <c r="E2037" s="74"/>
      <c r="F2037" s="74"/>
      <c r="G2037" s="74"/>
      <c r="H2037" s="76">
        <v>0</v>
      </c>
      <c r="I2037" s="76">
        <f>H2037*1.07</f>
        <v>0</v>
      </c>
      <c r="J2037" s="105"/>
    </row>
    <row r="2038" spans="1:10" ht="13" x14ac:dyDescent="0.3">
      <c r="A2038" s="91"/>
      <c r="B2038" s="74"/>
      <c r="C2038" s="74"/>
      <c r="D2038" s="74"/>
      <c r="E2038" s="74"/>
      <c r="F2038" s="74"/>
      <c r="G2038" s="74" t="s">
        <v>44</v>
      </c>
      <c r="H2038" s="137">
        <v>0</v>
      </c>
      <c r="I2038" s="137">
        <f>SUM(I2035:I2037)</f>
        <v>0</v>
      </c>
      <c r="J2038" s="105"/>
    </row>
    <row r="2039" spans="1:10" ht="13" x14ac:dyDescent="0.3">
      <c r="A2039" s="91"/>
      <c r="B2039" s="74"/>
      <c r="C2039" s="74"/>
      <c r="D2039" s="74"/>
      <c r="E2039" s="74"/>
      <c r="F2039" s="74"/>
      <c r="G2039" s="74"/>
      <c r="H2039" s="76"/>
      <c r="I2039" s="76"/>
      <c r="J2039" s="105"/>
    </row>
    <row r="2040" spans="1:10" ht="13" x14ac:dyDescent="0.3">
      <c r="A2040" s="91"/>
      <c r="B2040" s="104" t="s">
        <v>413</v>
      </c>
      <c r="C2040" s="74"/>
      <c r="D2040" s="74"/>
      <c r="E2040" s="74"/>
      <c r="F2040" s="74"/>
      <c r="G2040" s="74"/>
      <c r="H2040" s="76"/>
      <c r="I2040" s="76"/>
      <c r="J2040" s="105"/>
    </row>
    <row r="2041" spans="1:10" ht="13" x14ac:dyDescent="0.3">
      <c r="A2041" s="91"/>
      <c r="B2041" s="104" t="s">
        <v>41</v>
      </c>
      <c r="C2041" s="74"/>
      <c r="D2041" s="74"/>
      <c r="E2041" s="74"/>
      <c r="F2041" s="74"/>
      <c r="G2041" s="74"/>
      <c r="H2041" s="76"/>
      <c r="I2041" s="76"/>
      <c r="J2041" s="444" t="s">
        <v>313</v>
      </c>
    </row>
    <row r="2042" spans="1:10" ht="13" x14ac:dyDescent="0.3">
      <c r="A2042" s="91"/>
      <c r="B2042" s="74">
        <v>1</v>
      </c>
      <c r="C2042" s="74" t="str">
        <f>+'Unit tariffs'!B35</f>
        <v>Prepaid meter (Split) 1 phase 59A Unique Mbani</v>
      </c>
      <c r="D2042" s="74"/>
      <c r="E2042" s="74"/>
      <c r="F2042" s="85"/>
      <c r="G2042" s="74"/>
      <c r="H2042" s="76">
        <v>2262.7591214051877</v>
      </c>
      <c r="I2042" s="76">
        <f>VLOOKUP($C2042,'Unit tariffs'!$B$21:$F$123,5,FALSE)*$B2042</f>
        <v>1214.6779749999998</v>
      </c>
      <c r="J2042" s="447" t="e">
        <f>IF(+I2042*'Unit tariffs'!#REF!&gt;'Unit tariffs'!#REF!,'Unit tariffs'!#REF!,+I2042*'Unit tariffs'!#REF!)</f>
        <v>#REF!</v>
      </c>
    </row>
    <row r="2043" spans="1:10" ht="13" x14ac:dyDescent="0.3">
      <c r="A2043" s="91"/>
      <c r="B2043" s="74">
        <v>1</v>
      </c>
      <c r="C2043" s="74" t="str">
        <f>'Unit tariffs'!B21</f>
        <v>Installation material</v>
      </c>
      <c r="D2043" s="74"/>
      <c r="E2043" s="74"/>
      <c r="F2043" s="74"/>
      <c r="G2043" s="74"/>
      <c r="H2043" s="81">
        <v>271.44100000000003</v>
      </c>
      <c r="I2043" s="81">
        <f>VLOOKUP($C2043,'Unit tariffs'!$B$21:$F$123,5,FALSE)*$B2043</f>
        <v>282.48325</v>
      </c>
      <c r="J2043" s="447" t="e">
        <f>IF(+I2043*'Unit tariffs'!#REF!&gt;'Unit tariffs'!#REF!,'Unit tariffs'!#REF!,+I2043*'Unit tariffs'!#REF!)</f>
        <v>#REF!</v>
      </c>
    </row>
    <row r="2044" spans="1:10" ht="13" x14ac:dyDescent="0.3">
      <c r="A2044" s="91"/>
      <c r="B2044" s="104"/>
      <c r="C2044" s="74"/>
      <c r="D2044" s="74"/>
      <c r="E2044" s="74"/>
      <c r="F2044" s="74"/>
      <c r="G2044" s="74"/>
      <c r="H2044" s="76">
        <v>2534.2001214051879</v>
      </c>
      <c r="I2044" s="76">
        <f>SUM(I2042:I2043)</f>
        <v>1497.1612249999998</v>
      </c>
      <c r="J2044" s="105"/>
    </row>
    <row r="2045" spans="1:10" ht="13" x14ac:dyDescent="0.3">
      <c r="A2045" s="91"/>
      <c r="B2045" s="104"/>
      <c r="C2045" s="74"/>
      <c r="D2045" s="74"/>
      <c r="E2045" s="74"/>
      <c r="F2045" s="74"/>
      <c r="G2045" s="74"/>
      <c r="H2045" s="76"/>
      <c r="I2045" s="76"/>
      <c r="J2045" s="105"/>
    </row>
    <row r="2046" spans="1:10" ht="13" x14ac:dyDescent="0.3">
      <c r="A2046" s="91"/>
      <c r="B2046" s="104" t="s">
        <v>42</v>
      </c>
      <c r="C2046" s="74"/>
      <c r="D2046" s="74"/>
      <c r="E2046" s="74"/>
      <c r="F2046" s="74"/>
      <c r="G2046" s="74"/>
      <c r="H2046" s="74"/>
      <c r="I2046" s="74"/>
      <c r="J2046" s="105"/>
    </row>
    <row r="2047" spans="1:10" ht="13" x14ac:dyDescent="0.3">
      <c r="A2047" s="91"/>
      <c r="B2047" s="74"/>
      <c r="C2047" s="74"/>
      <c r="D2047" s="74"/>
      <c r="E2047" s="74"/>
      <c r="F2047" s="74"/>
      <c r="G2047" s="74"/>
      <c r="H2047" s="74"/>
      <c r="I2047" s="74"/>
      <c r="J2047" s="105"/>
    </row>
    <row r="2048" spans="1:10" ht="13" x14ac:dyDescent="0.3">
      <c r="A2048" s="91"/>
      <c r="B2048" s="74">
        <v>0</v>
      </c>
      <c r="C2048" s="74" t="str">
        <f>'Unit tariffs'!B$86</f>
        <v>hour-meter assistant</v>
      </c>
      <c r="D2048" s="74"/>
      <c r="E2048" s="74"/>
      <c r="F2048" s="74"/>
      <c r="G2048" s="74"/>
      <c r="H2048" s="76">
        <v>0</v>
      </c>
      <c r="I2048" s="76">
        <f>VLOOKUP($C2048,'Unit tariffs'!$B$21:$F$123,5,FALSE)*$B2048</f>
        <v>0</v>
      </c>
      <c r="J2048" s="105"/>
    </row>
    <row r="2049" spans="1:10" ht="13" x14ac:dyDescent="0.3">
      <c r="A2049" s="91"/>
      <c r="B2049" s="74">
        <v>0.5</v>
      </c>
      <c r="C2049" s="74" t="str">
        <f>'Unit tariffs'!B$87</f>
        <v xml:space="preserve">hour-artisan </v>
      </c>
      <c r="D2049" s="74"/>
      <c r="E2049" s="74"/>
      <c r="F2049" s="74"/>
      <c r="G2049" s="74"/>
      <c r="H2049" s="76">
        <v>161.42611586538462</v>
      </c>
      <c r="I2049" s="76">
        <f>VLOOKUP($C2049,'Unit tariffs'!$B$21:$F$123,5,FALSE)*$B2049</f>
        <v>175.5963830769231</v>
      </c>
      <c r="J2049" s="95"/>
    </row>
    <row r="2050" spans="1:10" ht="13" x14ac:dyDescent="0.3">
      <c r="A2050" s="91"/>
      <c r="B2050" s="74">
        <v>0.5</v>
      </c>
      <c r="C2050" s="74" t="str">
        <f>'Unit tariffs'!B$85</f>
        <v>hour-artisan assistant</v>
      </c>
      <c r="D2050" s="74"/>
      <c r="E2050" s="74"/>
      <c r="F2050" s="74"/>
      <c r="G2050" s="74"/>
      <c r="H2050" s="81">
        <v>64.267903846153857</v>
      </c>
      <c r="I2050" s="81">
        <f>VLOOKUP($C2050,'Unit tariffs'!$B$21:$F$123,5,FALSE)*$B2050</f>
        <v>69.912129230769239</v>
      </c>
      <c r="J2050" s="110"/>
    </row>
    <row r="2051" spans="1:10" ht="13" x14ac:dyDescent="0.3">
      <c r="A2051" s="91"/>
      <c r="B2051" s="74"/>
      <c r="C2051" s="74"/>
      <c r="D2051" s="74"/>
      <c r="E2051" s="74"/>
      <c r="F2051" s="74"/>
      <c r="G2051" s="74"/>
      <c r="H2051" s="76">
        <v>225.69401971153849</v>
      </c>
      <c r="I2051" s="76">
        <f>SUM(I2048:I2050)</f>
        <v>245.50851230769234</v>
      </c>
      <c r="J2051" s="105"/>
    </row>
    <row r="2052" spans="1:10" ht="13.5" thickBot="1" x14ac:dyDescent="0.35">
      <c r="A2052" s="91"/>
      <c r="B2052" s="104"/>
      <c r="C2052" s="74"/>
      <c r="D2052" s="74"/>
      <c r="E2052" s="74"/>
      <c r="F2052" s="74"/>
      <c r="G2052" s="74"/>
      <c r="H2052" s="108"/>
      <c r="I2052" s="108"/>
      <c r="J2052" s="113"/>
    </row>
    <row r="2053" spans="1:10" ht="13.5" thickTop="1" x14ac:dyDescent="0.3">
      <c r="A2053" s="91"/>
      <c r="B2053" s="74"/>
      <c r="C2053" s="74"/>
      <c r="D2053" s="74"/>
      <c r="E2053" s="74"/>
      <c r="F2053" s="74"/>
      <c r="G2053" s="74" t="s">
        <v>44</v>
      </c>
      <c r="H2053" s="76">
        <v>2759.8941411167266</v>
      </c>
      <c r="I2053" s="76">
        <f>I2051+I2044</f>
        <v>1742.6697373076922</v>
      </c>
      <c r="J2053" s="95"/>
    </row>
    <row r="2054" spans="1:10" ht="13" x14ac:dyDescent="0.3">
      <c r="A2054" s="91"/>
      <c r="B2054" s="104"/>
      <c r="C2054" s="74"/>
      <c r="D2054" s="74"/>
      <c r="E2054" s="74"/>
      <c r="F2054" s="74"/>
      <c r="G2054" s="74"/>
      <c r="H2054" s="76"/>
      <c r="I2054" s="76"/>
      <c r="J2054" s="95"/>
    </row>
    <row r="2055" spans="1:10" ht="13" x14ac:dyDescent="0.3">
      <c r="A2055" s="91"/>
      <c r="B2055" s="104" t="s">
        <v>43</v>
      </c>
      <c r="C2055" s="74"/>
      <c r="D2055" s="74"/>
      <c r="E2055" s="74"/>
      <c r="F2055" s="74"/>
      <c r="G2055" s="74"/>
      <c r="H2055" s="74"/>
      <c r="I2055" s="74"/>
      <c r="J2055" s="95"/>
    </row>
    <row r="2056" spans="1:10" ht="13" x14ac:dyDescent="0.3">
      <c r="A2056" s="91"/>
      <c r="B2056" s="74"/>
      <c r="C2056" s="74"/>
      <c r="D2056" s="74"/>
      <c r="E2056" s="74"/>
      <c r="F2056" s="74"/>
      <c r="G2056" s="74"/>
      <c r="H2056" s="74"/>
      <c r="I2056" s="74"/>
      <c r="J2056" s="95"/>
    </row>
    <row r="2057" spans="1:10" ht="13" x14ac:dyDescent="0.3">
      <c r="A2057" s="91"/>
      <c r="B2057" s="74">
        <v>24</v>
      </c>
      <c r="C2057" s="74" t="str">
        <f>'Unit tariffs'!B$115</f>
        <v>km-panel van</v>
      </c>
      <c r="D2057" s="74"/>
      <c r="E2057" s="74"/>
      <c r="F2057" s="74"/>
      <c r="G2057" s="74"/>
      <c r="H2057" s="76">
        <v>561.73212692749291</v>
      </c>
      <c r="I2057" s="76">
        <f>VLOOKUP($C2057,'Unit tariffs'!$B$21:$F$123,5,FALSE)*$B2057</f>
        <v>657.25769779100983</v>
      </c>
      <c r="J2057" s="95"/>
    </row>
    <row r="2058" spans="1:10" ht="13" x14ac:dyDescent="0.3">
      <c r="A2058" s="91"/>
      <c r="B2058" s="74">
        <f>+B2050</f>
        <v>0.5</v>
      </c>
      <c r="C2058" s="74" t="str">
        <f>'Unit tariffs'!B$116</f>
        <v>hour-panel van</v>
      </c>
      <c r="D2058" s="74"/>
      <c r="E2058" s="74"/>
      <c r="F2058" s="74"/>
      <c r="G2058" s="74"/>
      <c r="H2058" s="76">
        <v>102.28078559587203</v>
      </c>
      <c r="I2058" s="76">
        <f>VLOOKUP($C2058,'Unit tariffs'!$B$21:$F$123,5,FALSE)*$B2058</f>
        <v>119.67418355916104</v>
      </c>
      <c r="J2058" s="95"/>
    </row>
    <row r="2059" spans="1:10" ht="13" x14ac:dyDescent="0.3">
      <c r="A2059" s="91"/>
      <c r="B2059" s="74"/>
      <c r="C2059" s="74"/>
      <c r="D2059" s="74"/>
      <c r="E2059" s="74"/>
      <c r="F2059" s="74"/>
      <c r="G2059" s="74"/>
      <c r="H2059" s="137">
        <v>664.012912523365</v>
      </c>
      <c r="I2059" s="137">
        <f>SUM(I2057:I2058)</f>
        <v>776.9318813501709</v>
      </c>
      <c r="J2059" s="95"/>
    </row>
    <row r="2060" spans="1:10" ht="13.5" thickBot="1" x14ac:dyDescent="0.35">
      <c r="A2060" s="91"/>
      <c r="B2060" s="104"/>
      <c r="C2060" s="74"/>
      <c r="D2060" s="106"/>
      <c r="E2060" s="74"/>
      <c r="F2060" s="74"/>
      <c r="G2060" s="74"/>
      <c r="H2060" s="108"/>
      <c r="I2060" s="108"/>
      <c r="J2060" s="444"/>
    </row>
    <row r="2061" spans="1:10" ht="13.5" thickTop="1" x14ac:dyDescent="0.3">
      <c r="A2061" s="91"/>
      <c r="B2061" s="74"/>
      <c r="C2061" s="74"/>
      <c r="D2061" s="74"/>
      <c r="E2061" s="74"/>
      <c r="F2061" s="74"/>
      <c r="G2061" s="76"/>
      <c r="H2061" s="76">
        <v>8382.3996094093236</v>
      </c>
      <c r="I2061" s="76">
        <f>+I2053+I2038+I2032+I2059</f>
        <v>8688.9255417347867</v>
      </c>
      <c r="J2061" s="95"/>
    </row>
    <row r="2062" spans="1:10" ht="13.5" thickBot="1" x14ac:dyDescent="0.35">
      <c r="A2062" s="91"/>
      <c r="B2062" s="104" t="str">
        <f>'Unit tariffs'!$B$7</f>
        <v>Administration Levy (Indirect Cost)</v>
      </c>
      <c r="C2062" s="74"/>
      <c r="D2062" s="106">
        <f>'Unit tariffs'!$C$7</f>
        <v>0.1</v>
      </c>
      <c r="E2062" s="74" t="s">
        <v>311</v>
      </c>
      <c r="F2062" s="186">
        <f>+'Unit tariffs'!$F$7</f>
        <v>10000</v>
      </c>
      <c r="G2062" s="76"/>
      <c r="H2062" s="108">
        <v>838.23996094093241</v>
      </c>
      <c r="I2062" s="108">
        <f>IF(I2061*$D2062&gt;='Unit tariffs'!$E$7,'Unit tariffs'!$E$7,I2061*$D2062)</f>
        <v>868.89255417347874</v>
      </c>
      <c r="J2062" s="95"/>
    </row>
    <row r="2063" spans="1:10" ht="13.5" thickTop="1" x14ac:dyDescent="0.3">
      <c r="A2063" s="91"/>
      <c r="B2063" s="104" t="s">
        <v>44</v>
      </c>
      <c r="C2063" s="74"/>
      <c r="D2063" s="74"/>
      <c r="E2063" s="74"/>
      <c r="F2063" s="74"/>
      <c r="G2063" s="76"/>
      <c r="H2063" s="109">
        <v>9220.6395703502567</v>
      </c>
      <c r="I2063" s="109">
        <f>SUM(I2061:I2062)</f>
        <v>9557.8180959082656</v>
      </c>
      <c r="J2063" s="105"/>
    </row>
    <row r="2064" spans="1:10" ht="13" x14ac:dyDescent="0.3">
      <c r="A2064" s="91"/>
      <c r="B2064" s="74"/>
      <c r="C2064" s="74"/>
      <c r="D2064" s="74"/>
      <c r="E2064" s="74"/>
      <c r="F2064" s="74"/>
      <c r="G2064" s="74"/>
      <c r="H2064" s="74"/>
      <c r="I2064" s="74"/>
      <c r="J2064" s="447"/>
    </row>
    <row r="2065" spans="1:10" ht="13" x14ac:dyDescent="0.3">
      <c r="A2065" s="91"/>
      <c r="B2065" s="104" t="s">
        <v>45</v>
      </c>
      <c r="C2065" s="74"/>
      <c r="D2065" s="74"/>
      <c r="E2065" s="74"/>
      <c r="F2065" s="74"/>
      <c r="G2065" s="74"/>
      <c r="H2065" s="84">
        <v>9220</v>
      </c>
      <c r="I2065" s="84">
        <f>ROUND(I2063,-1)</f>
        <v>9560</v>
      </c>
      <c r="J2065" s="447"/>
    </row>
    <row r="2066" spans="1:10" ht="13" x14ac:dyDescent="0.3">
      <c r="A2066" s="91"/>
      <c r="B2066" s="74"/>
      <c r="C2066" s="74"/>
      <c r="D2066" s="74"/>
      <c r="E2066" s="74"/>
      <c r="F2066" s="74"/>
      <c r="G2066" s="74"/>
      <c r="H2066" s="76"/>
      <c r="I2066" s="76"/>
      <c r="J2066" s="105"/>
    </row>
    <row r="2067" spans="1:10" ht="13" x14ac:dyDescent="0.3">
      <c r="A2067" s="91"/>
      <c r="B2067" s="74"/>
      <c r="C2067" s="74"/>
      <c r="D2067" s="74"/>
      <c r="E2067" s="74"/>
      <c r="F2067" s="74"/>
      <c r="G2067" s="74"/>
      <c r="H2067" s="112">
        <v>0</v>
      </c>
      <c r="I2067" s="112">
        <f>(I2065-H2065)/H2065</f>
        <v>3.6876355748373099E-2</v>
      </c>
      <c r="J2067" s="105"/>
    </row>
    <row r="2068" spans="1:10" ht="13" x14ac:dyDescent="0.3">
      <c r="A2068" s="91"/>
      <c r="B2068" s="74"/>
      <c r="C2068" s="74"/>
      <c r="D2068" s="74"/>
      <c r="E2068" s="74"/>
      <c r="F2068" s="74"/>
      <c r="G2068" s="74"/>
      <c r="H2068" s="112"/>
      <c r="I2068" s="112"/>
      <c r="J2068" s="105"/>
    </row>
    <row r="2069" spans="1:10" ht="28.25" customHeight="1" x14ac:dyDescent="0.3">
      <c r="A2069" s="91"/>
      <c r="B2069" s="943" t="s">
        <v>499</v>
      </c>
      <c r="C2069" s="944"/>
      <c r="D2069" s="944"/>
      <c r="E2069" s="944"/>
      <c r="F2069" s="944"/>
      <c r="G2069" s="945"/>
      <c r="H2069" s="84"/>
      <c r="I2069" s="84"/>
      <c r="J2069" s="95"/>
    </row>
    <row r="2070" spans="1:10" ht="13" x14ac:dyDescent="0.3">
      <c r="A2070" s="91"/>
      <c r="B2070" s="74"/>
      <c r="C2070" s="74"/>
      <c r="D2070" s="74"/>
      <c r="E2070" s="74"/>
      <c r="F2070" s="74"/>
      <c r="G2070" s="74"/>
      <c r="H2070" s="112"/>
      <c r="I2070" s="112"/>
      <c r="J2070" s="95"/>
    </row>
    <row r="2071" spans="1:10" ht="13" x14ac:dyDescent="0.3">
      <c r="A2071" s="91"/>
      <c r="B2071" s="104" t="s">
        <v>424</v>
      </c>
      <c r="C2071" s="74"/>
      <c r="D2071" s="74"/>
      <c r="E2071" s="74"/>
      <c r="F2071" s="74"/>
      <c r="G2071" s="74"/>
      <c r="H2071" s="84"/>
      <c r="I2071" s="84"/>
      <c r="J2071" s="95"/>
    </row>
    <row r="2072" spans="1:10" ht="13" x14ac:dyDescent="0.3">
      <c r="A2072" s="91"/>
      <c r="B2072" s="104"/>
      <c r="C2072" s="74"/>
      <c r="D2072" s="74"/>
      <c r="E2072" s="74"/>
      <c r="F2072" s="74"/>
      <c r="G2072" s="74"/>
      <c r="H2072" s="84"/>
      <c r="I2072" s="84"/>
      <c r="J2072" s="95"/>
    </row>
    <row r="2073" spans="1:10" ht="13" x14ac:dyDescent="0.3">
      <c r="A2073" s="91"/>
      <c r="C2073" s="74" t="s">
        <v>414</v>
      </c>
      <c r="D2073">
        <v>13.8</v>
      </c>
      <c r="E2073" s="74" t="s">
        <v>415</v>
      </c>
      <c r="F2073" s="74"/>
      <c r="G2073" s="74"/>
      <c r="H2073" s="84"/>
      <c r="I2073" s="84"/>
      <c r="J2073" s="95"/>
    </row>
    <row r="2074" spans="1:10" ht="13" x14ac:dyDescent="0.3">
      <c r="A2074" s="91"/>
      <c r="B2074" s="74"/>
      <c r="C2074" s="74" t="s">
        <v>426</v>
      </c>
      <c r="D2074" s="1">
        <f>+D2073*0.7</f>
        <v>9.66</v>
      </c>
      <c r="E2074" s="74" t="s">
        <v>415</v>
      </c>
      <c r="F2074" s="74" t="s">
        <v>427</v>
      </c>
      <c r="G2074" s="74"/>
      <c r="H2074" s="84"/>
      <c r="I2074" s="84"/>
      <c r="J2074" s="95"/>
    </row>
    <row r="2075" spans="1:10" ht="13" x14ac:dyDescent="0.3">
      <c r="A2075" s="91"/>
      <c r="B2075" s="74"/>
      <c r="C2075" s="74" t="s">
        <v>115</v>
      </c>
      <c r="D2075" s="590">
        <v>0</v>
      </c>
      <c r="E2075" s="74" t="s">
        <v>417</v>
      </c>
      <c r="F2075" s="74"/>
      <c r="G2075" s="74"/>
      <c r="H2075" s="84"/>
      <c r="I2075" s="84"/>
      <c r="J2075" s="95"/>
    </row>
    <row r="2076" spans="1:10" ht="13" x14ac:dyDescent="0.3">
      <c r="A2076" s="91"/>
      <c r="B2076" s="74"/>
      <c r="C2076" s="74" t="s">
        <v>418</v>
      </c>
      <c r="D2076" s="594">
        <v>0</v>
      </c>
      <c r="E2076" s="74" t="s">
        <v>417</v>
      </c>
      <c r="F2076" s="74"/>
      <c r="G2076" s="74" t="s">
        <v>419</v>
      </c>
      <c r="H2076" s="84"/>
      <c r="I2076" s="84"/>
      <c r="J2076" s="95"/>
    </row>
    <row r="2077" spans="1:10" ht="13" x14ac:dyDescent="0.3">
      <c r="A2077" s="91"/>
      <c r="B2077" s="74"/>
      <c r="C2077" s="74" t="s">
        <v>420</v>
      </c>
      <c r="D2077" s="190">
        <f>(D2074*26*24*0.33*F2077)</f>
        <v>4085.1021461932282</v>
      </c>
      <c r="E2077" s="74" t="s">
        <v>417</v>
      </c>
      <c r="F2077" s="186">
        <f>+'Unit tariffs'!F165</f>
        <v>2.0536539478</v>
      </c>
      <c r="G2077" s="74" t="s">
        <v>428</v>
      </c>
      <c r="H2077" s="84"/>
      <c r="I2077" s="84"/>
      <c r="J2077" s="95"/>
    </row>
    <row r="2078" spans="1:10" ht="13" x14ac:dyDescent="0.3">
      <c r="A2078" s="91"/>
      <c r="B2078" s="74"/>
      <c r="C2078" s="74" t="s">
        <v>422</v>
      </c>
      <c r="D2078" s="595">
        <f>D2077+D2076+D2075</f>
        <v>4085.1021461932282</v>
      </c>
      <c r="E2078" s="74"/>
      <c r="F2078" s="74"/>
      <c r="G2078" s="74"/>
      <c r="H2078" s="84"/>
      <c r="I2078" s="84"/>
      <c r="J2078" s="95"/>
    </row>
    <row r="2079" spans="1:10" ht="13" x14ac:dyDescent="0.3">
      <c r="A2079" s="91"/>
      <c r="B2079" s="74"/>
      <c r="C2079" s="74"/>
      <c r="D2079" s="596"/>
      <c r="E2079" s="74"/>
      <c r="F2079" s="74"/>
      <c r="G2079" s="74"/>
      <c r="H2079" s="84"/>
      <c r="I2079" s="84"/>
      <c r="J2079" s="95"/>
    </row>
    <row r="2080" spans="1:10" ht="13" x14ac:dyDescent="0.3">
      <c r="A2080" s="91"/>
      <c r="B2080" s="104" t="s">
        <v>425</v>
      </c>
      <c r="D2080" s="104">
        <v>3</v>
      </c>
      <c r="E2080" s="74"/>
      <c r="F2080" s="74"/>
      <c r="G2080" s="74"/>
      <c r="H2080" s="587">
        <v>12255.306438579684</v>
      </c>
      <c r="I2080" s="587">
        <f>+D2078*D2080</f>
        <v>12255.306438579684</v>
      </c>
      <c r="J2080" s="95"/>
    </row>
    <row r="2081" spans="1:11" ht="13" x14ac:dyDescent="0.3">
      <c r="A2081" s="91"/>
      <c r="B2081" s="74"/>
      <c r="C2081" s="74"/>
      <c r="D2081" s="74"/>
      <c r="E2081" s="74"/>
      <c r="F2081" s="74"/>
      <c r="G2081" s="74"/>
      <c r="H2081" s="597"/>
      <c r="I2081" s="597"/>
      <c r="J2081" s="95"/>
    </row>
    <row r="2082" spans="1:11" ht="13" x14ac:dyDescent="0.3">
      <c r="A2082" s="91"/>
      <c r="B2082" s="74"/>
      <c r="C2082" s="74"/>
      <c r="D2082" s="74"/>
      <c r="E2082" s="74"/>
      <c r="F2082" s="128"/>
      <c r="G2082" s="633" t="s">
        <v>435</v>
      </c>
      <c r="H2082" s="587">
        <v>12300</v>
      </c>
      <c r="I2082" s="587">
        <f>+ROUND(I2080,-2)</f>
        <v>12300</v>
      </c>
      <c r="J2082" s="95"/>
      <c r="K2082" s="589"/>
    </row>
    <row r="2083" spans="1:11" ht="13" x14ac:dyDescent="0.3">
      <c r="A2083" s="91"/>
      <c r="B2083" s="74"/>
      <c r="C2083" s="74"/>
      <c r="D2083" s="74"/>
      <c r="E2083" s="74"/>
      <c r="F2083" s="128"/>
      <c r="G2083" s="74"/>
      <c r="H2083" s="587"/>
      <c r="I2083" s="587"/>
      <c r="J2083" s="95"/>
    </row>
    <row r="2084" spans="1:11" ht="13" x14ac:dyDescent="0.3">
      <c r="A2084" s="91"/>
      <c r="B2084" s="74"/>
      <c r="C2084" s="74"/>
      <c r="D2084" s="74"/>
      <c r="E2084" s="74"/>
      <c r="F2084" s="128"/>
      <c r="G2084" s="74"/>
      <c r="H2084" s="598">
        <v>0</v>
      </c>
      <c r="I2084" s="598">
        <f>+(I2082-H2082)/H2082</f>
        <v>0</v>
      </c>
      <c r="J2084" s="95"/>
    </row>
    <row r="2085" spans="1:11" ht="13.5" thickBot="1" x14ac:dyDescent="0.35">
      <c r="A2085" s="91"/>
      <c r="B2085" s="74"/>
      <c r="C2085" s="74"/>
      <c r="D2085" s="74"/>
      <c r="E2085" s="74"/>
      <c r="F2085" s="74"/>
      <c r="G2085" s="123"/>
      <c r="H2085" s="123"/>
      <c r="I2085" s="123"/>
      <c r="J2085" s="95"/>
    </row>
    <row r="2086" spans="1:11" ht="13.5" thickTop="1" x14ac:dyDescent="0.3">
      <c r="A2086" s="91"/>
      <c r="B2086" s="74"/>
      <c r="C2086" s="74"/>
      <c r="D2086" s="74"/>
      <c r="E2086" s="74"/>
      <c r="F2086" s="74"/>
      <c r="G2086" s="74"/>
      <c r="H2086" s="74"/>
      <c r="I2086" s="74"/>
      <c r="J2086" s="95"/>
    </row>
    <row r="2087" spans="1:11" ht="13.5" thickBot="1" x14ac:dyDescent="0.35">
      <c r="A2087" s="91"/>
      <c r="B2087" s="74"/>
      <c r="C2087" s="74"/>
      <c r="D2087" s="74"/>
      <c r="E2087" s="74"/>
      <c r="F2087" s="74"/>
      <c r="G2087" s="74"/>
      <c r="H2087" s="74"/>
      <c r="I2087" s="74"/>
      <c r="J2087" s="105"/>
    </row>
    <row r="2088" spans="1:11" ht="13.5" thickTop="1" x14ac:dyDescent="0.3">
      <c r="A2088" s="445"/>
      <c r="B2088" s="120" t="s">
        <v>1</v>
      </c>
      <c r="C2088" s="120"/>
      <c r="D2088" s="120"/>
      <c r="E2088" s="120"/>
      <c r="F2088" s="120"/>
      <c r="G2088" s="120"/>
      <c r="H2088" s="120"/>
      <c r="I2088" s="120"/>
      <c r="J2088" s="105"/>
    </row>
    <row r="2089" spans="1:11" ht="13" x14ac:dyDescent="0.3">
      <c r="A2089" s="91"/>
      <c r="B2089" s="92" t="s">
        <v>500</v>
      </c>
      <c r="C2089" s="93"/>
      <c r="D2089" s="93"/>
      <c r="E2089" s="93"/>
      <c r="F2089" s="93"/>
      <c r="G2089" s="93"/>
      <c r="H2089" s="94"/>
      <c r="I2089" s="94"/>
      <c r="J2089" s="105"/>
    </row>
    <row r="2090" spans="1:11" ht="13" x14ac:dyDescent="0.3">
      <c r="A2090" s="91"/>
      <c r="B2090" s="104"/>
      <c r="C2090" s="74"/>
      <c r="D2090" s="74"/>
      <c r="E2090" s="74"/>
      <c r="F2090" s="74"/>
      <c r="G2090" s="74"/>
      <c r="H2090" s="74"/>
      <c r="I2090" s="74"/>
      <c r="J2090" s="444"/>
    </row>
    <row r="2091" spans="1:11" ht="13" x14ac:dyDescent="0.3">
      <c r="A2091" s="91"/>
      <c r="B2091" s="104" t="s">
        <v>247</v>
      </c>
      <c r="C2091" s="74"/>
      <c r="D2091" s="74"/>
      <c r="E2091" s="74"/>
      <c r="F2091" s="74"/>
      <c r="G2091" s="74"/>
      <c r="H2091" s="74"/>
      <c r="I2091" s="74"/>
      <c r="J2091" s="447"/>
    </row>
    <row r="2092" spans="1:11" ht="13" x14ac:dyDescent="0.3">
      <c r="A2092" s="91"/>
      <c r="C2092" s="74"/>
      <c r="D2092" s="74"/>
      <c r="E2092" s="74"/>
      <c r="F2092" s="74"/>
      <c r="G2092" s="74"/>
      <c r="H2092" s="103" t="s">
        <v>451</v>
      </c>
      <c r="I2092" s="103" t="str">
        <f>+'Unit tariffs'!$F$11</f>
        <v>2026/2027</v>
      </c>
      <c r="J2092" s="447"/>
    </row>
    <row r="2093" spans="1:11" ht="13" x14ac:dyDescent="0.3">
      <c r="A2093" s="91"/>
      <c r="B2093" s="104" t="s">
        <v>62</v>
      </c>
      <c r="C2093" s="74"/>
      <c r="D2093" s="74"/>
      <c r="E2093" s="74"/>
      <c r="F2093" s="74"/>
      <c r="G2093" s="74"/>
      <c r="H2093" s="74"/>
      <c r="I2093" s="74"/>
      <c r="J2093" s="447"/>
    </row>
    <row r="2094" spans="1:11" ht="13" x14ac:dyDescent="0.3">
      <c r="A2094" s="91"/>
      <c r="B2094" s="74"/>
      <c r="C2094" s="74"/>
      <c r="D2094" s="74"/>
      <c r="E2094" s="74"/>
      <c r="F2094" s="74"/>
      <c r="G2094" s="76"/>
      <c r="H2094" s="76"/>
      <c r="I2094" s="76"/>
      <c r="J2094" s="447"/>
    </row>
    <row r="2095" spans="1:11" ht="13" x14ac:dyDescent="0.3">
      <c r="A2095" s="91"/>
      <c r="B2095" s="104" t="s">
        <v>42</v>
      </c>
      <c r="C2095" s="74"/>
      <c r="D2095" s="74"/>
      <c r="E2095" s="74"/>
      <c r="F2095" s="74"/>
      <c r="G2095" s="74"/>
      <c r="H2095" s="74"/>
      <c r="I2095" s="74"/>
      <c r="J2095" s="110"/>
    </row>
    <row r="2096" spans="1:11" ht="13" x14ac:dyDescent="0.3">
      <c r="A2096" s="91"/>
      <c r="B2096" s="74"/>
      <c r="C2096" s="74"/>
      <c r="D2096" s="74"/>
      <c r="E2096" s="74"/>
      <c r="F2096" s="74"/>
      <c r="G2096" s="74"/>
      <c r="H2096" s="74"/>
      <c r="I2096" s="74"/>
      <c r="J2096" s="105"/>
    </row>
    <row r="2097" spans="1:11" ht="13" x14ac:dyDescent="0.3">
      <c r="A2097" s="91"/>
      <c r="B2097" s="74">
        <v>2</v>
      </c>
      <c r="C2097" s="74" t="s">
        <v>548</v>
      </c>
      <c r="D2097" s="74"/>
      <c r="E2097" s="74"/>
      <c r="F2097" s="74"/>
      <c r="G2097" s="74"/>
      <c r="H2097" s="76">
        <v>684.64114615384619</v>
      </c>
      <c r="I2097" s="76">
        <f>VLOOKUP($C2097,'Unit tariffs'!$B$21:$F$123,5,FALSE)*$B2097</f>
        <v>842.7119815384616</v>
      </c>
      <c r="J2097" s="113"/>
    </row>
    <row r="2098" spans="1:11" ht="13" x14ac:dyDescent="0.3">
      <c r="A2098" s="91"/>
      <c r="B2098" s="74">
        <v>2</v>
      </c>
      <c r="C2098" s="74" t="s">
        <v>68</v>
      </c>
      <c r="D2098" s="74"/>
      <c r="E2098" s="74"/>
      <c r="F2098" s="74"/>
      <c r="G2098" s="74"/>
      <c r="H2098" s="76">
        <v>684.64114615384619</v>
      </c>
      <c r="I2098" s="76">
        <f>VLOOKUP($C2098,'Unit tariffs'!$B$21:$F$123,5,FALSE)*$B2098</f>
        <v>948.69216923076931</v>
      </c>
      <c r="J2098" s="95"/>
    </row>
    <row r="2099" spans="1:11" ht="13" x14ac:dyDescent="0.3">
      <c r="A2099" s="91"/>
      <c r="B2099" s="74">
        <v>16</v>
      </c>
      <c r="C2099" s="74" t="s">
        <v>69</v>
      </c>
      <c r="D2099" s="74"/>
      <c r="E2099" s="74"/>
      <c r="F2099" s="74"/>
      <c r="G2099" s="74"/>
      <c r="H2099" s="76">
        <v>3058.0781076923081</v>
      </c>
      <c r="I2099" s="76">
        <f>VLOOKUP($C2099,'Unit tariffs'!$B$21:$F$123,5,FALSE)*$B2099</f>
        <v>3764.2785230769236</v>
      </c>
      <c r="J2099" s="95"/>
    </row>
    <row r="2100" spans="1:11" ht="13" x14ac:dyDescent="0.3">
      <c r="A2100" s="91"/>
      <c r="B2100" s="74">
        <v>2</v>
      </c>
      <c r="C2100" s="74" t="s">
        <v>91</v>
      </c>
      <c r="D2100" s="74"/>
      <c r="E2100" s="74"/>
      <c r="F2100" s="74"/>
      <c r="G2100" s="74"/>
      <c r="H2100" s="81">
        <v>531.13215576923085</v>
      </c>
      <c r="I2100" s="81">
        <f>VLOOKUP($C2100,'Unit tariffs'!$B$21:$F$123,5,FALSE)*$B2100</f>
        <v>613.64124923076929</v>
      </c>
      <c r="J2100" s="115"/>
    </row>
    <row r="2101" spans="1:11" ht="13" x14ac:dyDescent="0.3">
      <c r="A2101" s="91"/>
      <c r="B2101" s="74"/>
      <c r="C2101" s="74"/>
      <c r="D2101" s="74"/>
      <c r="E2101" s="74"/>
      <c r="F2101" s="74"/>
      <c r="G2101" s="74" t="s">
        <v>44</v>
      </c>
      <c r="H2101" s="76">
        <v>4958.4925557692313</v>
      </c>
      <c r="I2101" s="76">
        <f>SUM(I2097:I2100)</f>
        <v>6169.3239230769241</v>
      </c>
      <c r="J2101" s="115"/>
      <c r="K2101" s="645">
        <f>+(I2101-H2101)/H2101</f>
        <v>0.24419344260159961</v>
      </c>
    </row>
    <row r="2102" spans="1:11" ht="13" x14ac:dyDescent="0.3">
      <c r="A2102" s="91"/>
      <c r="B2102" s="104" t="s">
        <v>70</v>
      </c>
      <c r="C2102" s="74"/>
      <c r="D2102" s="74"/>
      <c r="E2102" s="74"/>
      <c r="F2102" s="74"/>
      <c r="G2102" s="74"/>
      <c r="H2102" s="74"/>
      <c r="I2102" s="74"/>
      <c r="J2102" s="115"/>
    </row>
    <row r="2103" spans="1:11" ht="13" x14ac:dyDescent="0.3">
      <c r="A2103" s="91"/>
      <c r="B2103" s="74"/>
      <c r="C2103" s="74"/>
      <c r="D2103" s="74"/>
      <c r="E2103" s="74"/>
      <c r="F2103" s="74"/>
      <c r="G2103" s="74"/>
      <c r="H2103" s="74"/>
      <c r="I2103" s="74"/>
      <c r="J2103" s="115"/>
    </row>
    <row r="2104" spans="1:11" ht="13" x14ac:dyDescent="0.3">
      <c r="A2104" s="91"/>
      <c r="B2104" s="74">
        <v>1</v>
      </c>
      <c r="C2104" s="74" t="s">
        <v>71</v>
      </c>
      <c r="D2104" s="74"/>
      <c r="E2104" s="74"/>
      <c r="F2104" s="74"/>
      <c r="G2104" s="74"/>
      <c r="H2104" s="76">
        <v>0</v>
      </c>
      <c r="I2104" s="76">
        <f>H2104*(1+'Unit tariffs'!$F$2)</f>
        <v>0</v>
      </c>
      <c r="J2104" s="444" t="s">
        <v>313</v>
      </c>
    </row>
    <row r="2105" spans="1:11" ht="13" x14ac:dyDescent="0.3">
      <c r="A2105" s="91"/>
      <c r="B2105" s="74">
        <v>1</v>
      </c>
      <c r="C2105" s="74" t="s">
        <v>72</v>
      </c>
      <c r="D2105" s="74"/>
      <c r="E2105" s="74"/>
      <c r="F2105" s="74"/>
      <c r="G2105" s="74"/>
      <c r="H2105" s="76">
        <v>0</v>
      </c>
      <c r="I2105" s="76">
        <f>H2105*(1+'Unit tariffs'!$F$2)</f>
        <v>0</v>
      </c>
      <c r="J2105" s="447" t="e">
        <f>IF(+I2184*'Unit tariffs'!#REF!&gt;'Unit tariffs'!#REF!,'Unit tariffs'!#REF!,+I2184*'Unit tariffs'!#REF!)</f>
        <v>#REF!</v>
      </c>
    </row>
    <row r="2106" spans="1:11" ht="13" x14ac:dyDescent="0.3">
      <c r="A2106" s="91"/>
      <c r="B2106" s="74">
        <v>1</v>
      </c>
      <c r="C2106" s="74" t="s">
        <v>73</v>
      </c>
      <c r="D2106" s="74"/>
      <c r="E2106" s="74"/>
      <c r="F2106" s="74"/>
      <c r="G2106" s="74"/>
      <c r="H2106" s="76">
        <v>0</v>
      </c>
      <c r="I2106" s="76">
        <f>H2106*(1+'Unit tariffs'!$F$2)</f>
        <v>0</v>
      </c>
      <c r="J2106" s="447" t="e">
        <f>IF(+I2185*'Unit tariffs'!#REF!&gt;'Unit tariffs'!#REF!,'Unit tariffs'!#REF!,+I2185*'Unit tariffs'!#REF!)</f>
        <v>#REF!</v>
      </c>
    </row>
    <row r="2107" spans="1:11" ht="13" x14ac:dyDescent="0.3">
      <c r="A2107" s="91"/>
      <c r="B2107" s="74"/>
      <c r="C2107" s="74"/>
      <c r="D2107" s="74"/>
      <c r="E2107" s="74"/>
      <c r="F2107" s="74"/>
      <c r="G2107" s="74" t="s">
        <v>44</v>
      </c>
      <c r="H2107" s="137">
        <v>0</v>
      </c>
      <c r="I2107" s="137">
        <f>SUM(I2104:I2106)</f>
        <v>0</v>
      </c>
      <c r="J2107" s="447" t="e">
        <f>IF(+I2186*'Unit tariffs'!#REF!&gt;'Unit tariffs'!#REF!,'Unit tariffs'!#REF!,+I2186*'Unit tariffs'!#REF!)</f>
        <v>#REF!</v>
      </c>
      <c r="K2107" s="645" t="e">
        <f>+(I2107-H2107)/H2107</f>
        <v>#DIV/0!</v>
      </c>
    </row>
    <row r="2108" spans="1:11" ht="13" x14ac:dyDescent="0.3">
      <c r="A2108" s="91"/>
      <c r="B2108" s="74"/>
      <c r="C2108" s="74"/>
      <c r="D2108" s="74"/>
      <c r="E2108" s="74"/>
      <c r="F2108" s="74"/>
      <c r="G2108" s="74"/>
      <c r="H2108" s="76"/>
      <c r="I2108" s="76"/>
      <c r="J2108" s="447"/>
    </row>
    <row r="2109" spans="1:11" ht="13" x14ac:dyDescent="0.3">
      <c r="A2109" s="91"/>
      <c r="B2109" s="104" t="s">
        <v>246</v>
      </c>
      <c r="C2109" s="74"/>
      <c r="D2109" s="74"/>
      <c r="E2109" s="74"/>
      <c r="F2109" s="74"/>
      <c r="G2109" s="74"/>
      <c r="H2109" s="76"/>
      <c r="I2109" s="76"/>
      <c r="J2109" s="115"/>
    </row>
    <row r="2110" spans="1:11" ht="13" x14ac:dyDescent="0.3">
      <c r="A2110" s="91"/>
      <c r="B2110" s="104" t="s">
        <v>41</v>
      </c>
      <c r="C2110" s="74"/>
      <c r="D2110" s="74"/>
      <c r="E2110" s="74"/>
      <c r="F2110" s="74"/>
      <c r="G2110" s="74"/>
      <c r="H2110" s="76"/>
      <c r="I2110" s="76"/>
      <c r="J2110" s="115"/>
    </row>
    <row r="2111" spans="1:11" ht="13" x14ac:dyDescent="0.3">
      <c r="A2111" s="91"/>
      <c r="B2111" s="74">
        <v>1</v>
      </c>
      <c r="C2111" s="74" t="s">
        <v>312</v>
      </c>
      <c r="D2111" s="74"/>
      <c r="E2111" s="74"/>
      <c r="F2111" s="85"/>
      <c r="G2111" s="74"/>
      <c r="H2111" s="76">
        <v>5538.1406043608804</v>
      </c>
      <c r="I2111" s="76">
        <f>VLOOKUP($C2111,'Unit tariffs'!$B$21:$F$123,5,FALSE)*$B2111</f>
        <v>0</v>
      </c>
      <c r="J2111" s="115"/>
      <c r="K2111" s="645"/>
    </row>
    <row r="2112" spans="1:11" ht="13" x14ac:dyDescent="0.3">
      <c r="A2112" s="91"/>
      <c r="B2112" s="74">
        <v>1</v>
      </c>
      <c r="C2112" s="74" t="s">
        <v>230</v>
      </c>
      <c r="D2112" s="74"/>
      <c r="E2112" s="74"/>
      <c r="F2112" s="74"/>
      <c r="G2112" s="74"/>
      <c r="H2112" s="76">
        <v>3707.5418271871995</v>
      </c>
      <c r="I2112" s="76">
        <f>VLOOKUP($C2112,'Unit tariffs'!$B$21:$F$123,5,FALSE)*$B2112</f>
        <v>338.07595359999993</v>
      </c>
      <c r="J2112" s="115"/>
      <c r="K2112" s="645"/>
    </row>
    <row r="2113" spans="1:11" ht="13" x14ac:dyDescent="0.3">
      <c r="A2113" s="91"/>
      <c r="B2113" s="74">
        <v>1</v>
      </c>
      <c r="C2113" s="74" t="s">
        <v>17</v>
      </c>
      <c r="D2113" s="74"/>
      <c r="E2113" s="74"/>
      <c r="F2113" s="74"/>
      <c r="G2113" s="74"/>
      <c r="H2113" s="81">
        <v>271.44100000000003</v>
      </c>
      <c r="I2113" s="81">
        <f>VLOOKUP($C2113,'Unit tariffs'!$B$21:$F$123,5,FALSE)*$B2113</f>
        <v>282.48325</v>
      </c>
      <c r="J2113" s="115"/>
      <c r="K2113" s="645"/>
    </row>
    <row r="2114" spans="1:11" ht="13" x14ac:dyDescent="0.3">
      <c r="A2114" s="91"/>
      <c r="B2114" s="104"/>
      <c r="C2114" s="74"/>
      <c r="D2114" s="74"/>
      <c r="E2114" s="74"/>
      <c r="F2114" s="74"/>
      <c r="G2114" s="74"/>
      <c r="H2114" s="76">
        <v>9517.1234315480815</v>
      </c>
      <c r="I2114" s="76">
        <f>SUM(I2111:I2113)</f>
        <v>620.55920359999993</v>
      </c>
      <c r="J2114" s="115"/>
    </row>
    <row r="2115" spans="1:11" ht="13" x14ac:dyDescent="0.3">
      <c r="A2115" s="91"/>
      <c r="B2115" s="104" t="e">
        <f>'Unit tariffs'!#REF!</f>
        <v>#REF!</v>
      </c>
      <c r="C2115" s="74"/>
      <c r="D2115" s="106" t="e">
        <f>'Unit tariffs'!#REF!</f>
        <v>#REF!</v>
      </c>
      <c r="E2115" s="74" t="s">
        <v>310</v>
      </c>
      <c r="F2115" s="186" t="e">
        <f>+'Unit tariffs'!#REF!</f>
        <v>#REF!</v>
      </c>
      <c r="G2115" s="74"/>
      <c r="H2115" s="203">
        <v>0</v>
      </c>
      <c r="I2115" s="203">
        <f>+SUM(J2111:J2113)</f>
        <v>0</v>
      </c>
      <c r="J2115" s="115"/>
    </row>
    <row r="2116" spans="1:11" ht="13" x14ac:dyDescent="0.3">
      <c r="A2116" s="91"/>
      <c r="B2116" s="104"/>
      <c r="C2116" s="74"/>
      <c r="D2116" s="74"/>
      <c r="E2116" s="74"/>
      <c r="F2116" s="74"/>
      <c r="G2116" s="74"/>
      <c r="H2116" s="76">
        <v>9517.1234315480815</v>
      </c>
      <c r="I2116" s="76">
        <f>I2115+I2114</f>
        <v>620.55920359999993</v>
      </c>
      <c r="J2116" s="115"/>
      <c r="K2116" s="645">
        <f>+(I2116-H2116)/H2116</f>
        <v>-0.93479550748045115</v>
      </c>
    </row>
    <row r="2117" spans="1:11" ht="13" x14ac:dyDescent="0.3">
      <c r="A2117" s="91"/>
      <c r="B2117" s="104"/>
      <c r="C2117" s="74"/>
      <c r="D2117" s="74"/>
      <c r="E2117" s="74"/>
      <c r="F2117" s="74"/>
      <c r="G2117" s="74"/>
      <c r="H2117" s="76"/>
      <c r="I2117" s="76"/>
      <c r="J2117" s="115"/>
    </row>
    <row r="2118" spans="1:11" ht="13" x14ac:dyDescent="0.3">
      <c r="A2118" s="91"/>
      <c r="B2118" s="104" t="s">
        <v>42</v>
      </c>
      <c r="C2118" s="74"/>
      <c r="D2118" s="74"/>
      <c r="E2118" s="74"/>
      <c r="F2118" s="74"/>
      <c r="G2118" s="74"/>
      <c r="H2118" s="74"/>
      <c r="I2118" s="74"/>
      <c r="J2118" s="115"/>
    </row>
    <row r="2119" spans="1:11" ht="13" x14ac:dyDescent="0.3">
      <c r="A2119" s="91"/>
      <c r="B2119" s="74"/>
      <c r="C2119" s="74"/>
      <c r="D2119" s="74"/>
      <c r="E2119" s="74"/>
      <c r="F2119" s="74"/>
      <c r="G2119" s="74"/>
      <c r="H2119" s="74"/>
      <c r="I2119" s="74"/>
      <c r="J2119" s="115"/>
    </row>
    <row r="2120" spans="1:11" ht="13" x14ac:dyDescent="0.3">
      <c r="A2120" s="91"/>
      <c r="B2120" s="74">
        <v>0.75</v>
      </c>
      <c r="C2120" s="74" t="str">
        <f>'Unit tariffs'!B$86</f>
        <v>hour-meter assistant</v>
      </c>
      <c r="D2120" s="74"/>
      <c r="E2120" s="74"/>
      <c r="F2120" s="74"/>
      <c r="G2120" s="74"/>
      <c r="H2120" s="76">
        <v>96.401855769230792</v>
      </c>
      <c r="I2120" s="76">
        <f>VLOOKUP($C2120,'Unit tariffs'!$B$21:$F$123,5,FALSE)*$B2120</f>
        <v>104.86819384615386</v>
      </c>
      <c r="J2120" s="115"/>
    </row>
    <row r="2121" spans="1:11" ht="13" x14ac:dyDescent="0.3">
      <c r="A2121" s="91"/>
      <c r="B2121" s="74">
        <v>2.85</v>
      </c>
      <c r="C2121" s="74" t="str">
        <f>'Unit tariffs'!B$87</f>
        <v xml:space="preserve">hour-artisan </v>
      </c>
      <c r="D2121" s="74"/>
      <c r="E2121" s="74"/>
      <c r="F2121" s="74"/>
      <c r="G2121" s="74"/>
      <c r="H2121" s="76">
        <v>920.12886043269236</v>
      </c>
      <c r="I2121" s="76">
        <f>VLOOKUP($C2121,'Unit tariffs'!$B$21:$F$123,5,FALSE)*$B2121</f>
        <v>1000.8993835384617</v>
      </c>
      <c r="J2121" s="115"/>
    </row>
    <row r="2122" spans="1:11" ht="13" x14ac:dyDescent="0.3">
      <c r="A2122" s="91"/>
      <c r="B2122" s="74">
        <v>2</v>
      </c>
      <c r="C2122" s="74" t="str">
        <f>'Unit tariffs'!B$85</f>
        <v>hour-artisan assistant</v>
      </c>
      <c r="D2122" s="74"/>
      <c r="E2122" s="74"/>
      <c r="F2122" s="74"/>
      <c r="G2122" s="74"/>
      <c r="H2122" s="81">
        <v>257.07161538461543</v>
      </c>
      <c r="I2122" s="81">
        <f>VLOOKUP($C2122,'Unit tariffs'!$B$21:$F$123,5,FALSE)*$B2122</f>
        <v>279.64851692307695</v>
      </c>
      <c r="J2122" s="115"/>
    </row>
    <row r="2123" spans="1:11" ht="13" x14ac:dyDescent="0.3">
      <c r="A2123" s="91"/>
      <c r="B2123" s="74"/>
      <c r="C2123" s="74"/>
      <c r="D2123" s="74"/>
      <c r="E2123" s="74"/>
      <c r="F2123" s="74"/>
      <c r="G2123" s="74"/>
      <c r="H2123" s="76">
        <v>1273.6023315865386</v>
      </c>
      <c r="I2123" s="76">
        <f>SUM(I2120:I2122)</f>
        <v>1385.4160943076927</v>
      </c>
      <c r="J2123" s="115"/>
    </row>
    <row r="2124" spans="1:11" ht="13.5" thickBot="1" x14ac:dyDescent="0.35">
      <c r="A2124" s="91"/>
      <c r="B2124" s="104"/>
      <c r="C2124" s="74"/>
      <c r="D2124" s="74"/>
      <c r="E2124" s="74"/>
      <c r="F2124" s="74"/>
      <c r="G2124" s="74"/>
      <c r="H2124" s="108"/>
      <c r="I2124" s="108"/>
      <c r="J2124" s="115"/>
    </row>
    <row r="2125" spans="1:11" ht="13.5" thickTop="1" x14ac:dyDescent="0.3">
      <c r="A2125" s="91"/>
      <c r="B2125" s="74"/>
      <c r="C2125" s="74"/>
      <c r="D2125" s="74"/>
      <c r="E2125" s="74"/>
      <c r="F2125" s="74"/>
      <c r="G2125" s="74" t="s">
        <v>44</v>
      </c>
      <c r="H2125" s="76">
        <v>10790.72576313462</v>
      </c>
      <c r="I2125" s="76">
        <f>I2123+I2116</f>
        <v>2005.9752979076925</v>
      </c>
      <c r="J2125" s="115"/>
      <c r="K2125" s="645">
        <f>+(I2125-H2125)/H2125</f>
        <v>-0.81410191103540996</v>
      </c>
    </row>
    <row r="2126" spans="1:11" ht="13" x14ac:dyDescent="0.3">
      <c r="A2126" s="91"/>
      <c r="B2126" s="104"/>
      <c r="C2126" s="74"/>
      <c r="D2126" s="74"/>
      <c r="E2126" s="74"/>
      <c r="F2126" s="74"/>
      <c r="G2126" s="74"/>
      <c r="H2126" s="76"/>
      <c r="I2126" s="76"/>
      <c r="J2126" s="115"/>
    </row>
    <row r="2127" spans="1:11" ht="13" x14ac:dyDescent="0.3">
      <c r="A2127" s="91"/>
      <c r="B2127" s="104" t="s">
        <v>43</v>
      </c>
      <c r="C2127" s="74"/>
      <c r="D2127" s="74"/>
      <c r="E2127" s="74"/>
      <c r="F2127" s="74"/>
      <c r="G2127" s="74"/>
      <c r="H2127" s="74"/>
      <c r="I2127" s="74"/>
      <c r="J2127" s="115"/>
    </row>
    <row r="2128" spans="1:11" ht="13" x14ac:dyDescent="0.3">
      <c r="A2128" s="91"/>
      <c r="B2128" s="74"/>
      <c r="C2128" s="74"/>
      <c r="D2128" s="74"/>
      <c r="E2128" s="74"/>
      <c r="F2128" s="74"/>
      <c r="G2128" s="74"/>
      <c r="H2128" s="74"/>
      <c r="I2128" s="74"/>
      <c r="J2128" s="115"/>
    </row>
    <row r="2129" spans="1:11" ht="13" x14ac:dyDescent="0.3">
      <c r="A2129" s="91"/>
      <c r="B2129" s="74">
        <v>24</v>
      </c>
      <c r="C2129" s="74" t="str">
        <f>'Unit tariffs'!B$115</f>
        <v>km-panel van</v>
      </c>
      <c r="D2129" s="74"/>
      <c r="E2129" s="74"/>
      <c r="F2129" s="74"/>
      <c r="G2129" s="74"/>
      <c r="H2129" s="76">
        <v>561.73212692749291</v>
      </c>
      <c r="I2129" s="76">
        <f>VLOOKUP($C2129,'Unit tariffs'!$B$21:$F$123,5,FALSE)*$B2129</f>
        <v>657.25769779100983</v>
      </c>
      <c r="J2129" s="115"/>
    </row>
    <row r="2130" spans="1:11" ht="13" x14ac:dyDescent="0.3">
      <c r="A2130" s="91"/>
      <c r="B2130" s="74">
        <f>+B2122</f>
        <v>2</v>
      </c>
      <c r="C2130" s="74" t="str">
        <f>'Unit tariffs'!B$116</f>
        <v>hour-panel van</v>
      </c>
      <c r="D2130" s="74"/>
      <c r="E2130" s="74"/>
      <c r="F2130" s="74"/>
      <c r="G2130" s="74"/>
      <c r="H2130" s="76">
        <v>409.12314238348813</v>
      </c>
      <c r="I2130" s="76">
        <f>VLOOKUP($C2130,'Unit tariffs'!$B$21:$F$123,5,FALSE)*$B2130</f>
        <v>478.69673423664415</v>
      </c>
      <c r="J2130" s="115"/>
    </row>
    <row r="2131" spans="1:11" ht="13" x14ac:dyDescent="0.3">
      <c r="A2131" s="91"/>
      <c r="B2131" s="74"/>
      <c r="C2131" s="74"/>
      <c r="D2131" s="74"/>
      <c r="E2131" s="74"/>
      <c r="F2131" s="74"/>
      <c r="G2131" s="74"/>
      <c r="H2131" s="137">
        <v>970.85526931098104</v>
      </c>
      <c r="I2131" s="137">
        <f>SUM(I2129:I2130)</f>
        <v>1135.9544320276541</v>
      </c>
      <c r="J2131" s="115"/>
      <c r="K2131" s="645">
        <f>+(I2131-H2131)/H2131</f>
        <v>0.17005538099808062</v>
      </c>
    </row>
    <row r="2132" spans="1:11" ht="13.5" thickBot="1" x14ac:dyDescent="0.35">
      <c r="A2132" s="91"/>
      <c r="B2132" s="104"/>
      <c r="C2132" s="74"/>
      <c r="D2132" s="106"/>
      <c r="E2132" s="74"/>
      <c r="F2132" s="74"/>
      <c r="G2132" s="74"/>
      <c r="H2132" s="108"/>
      <c r="I2132" s="108"/>
      <c r="J2132" s="115"/>
    </row>
    <row r="2133" spans="1:11" ht="13.5" thickTop="1" x14ac:dyDescent="0.3">
      <c r="A2133" s="91"/>
      <c r="B2133" s="74"/>
      <c r="C2133" s="74"/>
      <c r="D2133" s="74"/>
      <c r="E2133" s="74"/>
      <c r="F2133" s="74"/>
      <c r="G2133" s="76"/>
      <c r="H2133" s="76">
        <v>16720.073588214833</v>
      </c>
      <c r="I2133" s="76">
        <f>+I2125+I2107+I2101+I2131</f>
        <v>9311.2536530122707</v>
      </c>
      <c r="J2133" s="115"/>
    </row>
    <row r="2134" spans="1:11" ht="13.5" thickBot="1" x14ac:dyDescent="0.35">
      <c r="A2134" s="91"/>
      <c r="B2134" s="104" t="str">
        <f>'Unit tariffs'!$B$7</f>
        <v>Administration Levy (Indirect Cost)</v>
      </c>
      <c r="C2134" s="74"/>
      <c r="D2134" s="106">
        <f>'Unit tariffs'!$C$7</f>
        <v>0.1</v>
      </c>
      <c r="E2134" s="74" t="s">
        <v>311</v>
      </c>
      <c r="F2134" s="186">
        <f>+'Unit tariffs'!$F$7</f>
        <v>10000</v>
      </c>
      <c r="G2134" s="76"/>
      <c r="H2134" s="108">
        <v>1672.0073588214834</v>
      </c>
      <c r="I2134" s="108">
        <f>IF(I2133*$D2134&gt;='Unit tariffs'!$E$7,'Unit tariffs'!$E$7,I2133*$D2134)</f>
        <v>931.12536530122713</v>
      </c>
      <c r="J2134" s="115"/>
    </row>
    <row r="2135" spans="1:11" ht="13.5" thickTop="1" x14ac:dyDescent="0.3">
      <c r="A2135" s="91"/>
      <c r="B2135" s="104" t="s">
        <v>44</v>
      </c>
      <c r="C2135" s="74"/>
      <c r="D2135" s="74"/>
      <c r="E2135" s="74"/>
      <c r="F2135" s="74"/>
      <c r="G2135" s="76"/>
      <c r="H2135" s="109">
        <v>18392.080947036317</v>
      </c>
      <c r="I2135" s="109">
        <f>SUM(I2133:I2134)</f>
        <v>10242.379018313497</v>
      </c>
      <c r="J2135" s="115"/>
    </row>
    <row r="2136" spans="1:11" ht="13" x14ac:dyDescent="0.3">
      <c r="A2136" s="91"/>
      <c r="B2136" s="74"/>
      <c r="C2136" s="74"/>
      <c r="D2136" s="74"/>
      <c r="E2136" s="74"/>
      <c r="F2136" s="74"/>
      <c r="G2136" s="74"/>
      <c r="H2136" s="74"/>
      <c r="I2136" s="74"/>
      <c r="J2136" s="115"/>
    </row>
    <row r="2137" spans="1:11" ht="13" x14ac:dyDescent="0.3">
      <c r="A2137" s="91"/>
      <c r="B2137" s="104" t="s">
        <v>45</v>
      </c>
      <c r="C2137" s="74"/>
      <c r="D2137" s="74"/>
      <c r="E2137" s="74"/>
      <c r="F2137" s="74"/>
      <c r="G2137" s="74"/>
      <c r="H2137" s="84">
        <v>18390</v>
      </c>
      <c r="I2137" s="84">
        <f>ROUND(I2135,-1)</f>
        <v>10240</v>
      </c>
      <c r="J2137" s="115"/>
    </row>
    <row r="2138" spans="1:11" ht="13" x14ac:dyDescent="0.3">
      <c r="A2138" s="91"/>
      <c r="B2138" s="74"/>
      <c r="C2138" s="74"/>
      <c r="D2138" s="74"/>
      <c r="E2138" s="74"/>
      <c r="F2138" s="74"/>
      <c r="G2138" s="74"/>
      <c r="H2138" s="76"/>
      <c r="I2138" s="76"/>
      <c r="J2138" s="115"/>
    </row>
    <row r="2139" spans="1:11" ht="13" x14ac:dyDescent="0.3">
      <c r="A2139" s="91"/>
      <c r="B2139" s="74"/>
      <c r="C2139" s="74"/>
      <c r="D2139" s="74"/>
      <c r="E2139" s="74"/>
      <c r="F2139" s="74"/>
      <c r="G2139" s="74"/>
      <c r="H2139" s="112">
        <v>-0.36278586278586278</v>
      </c>
      <c r="I2139" s="112">
        <f>(I2137-H2137)/H2137</f>
        <v>-0.44317563893420336</v>
      </c>
      <c r="J2139" s="115"/>
    </row>
    <row r="2140" spans="1:11" ht="13" x14ac:dyDescent="0.3">
      <c r="A2140" s="91"/>
      <c r="B2140" s="74"/>
      <c r="C2140" s="74"/>
      <c r="D2140" s="74"/>
      <c r="E2140" s="74"/>
      <c r="F2140" s="74"/>
      <c r="G2140" s="74"/>
      <c r="H2140" s="112"/>
      <c r="I2140" s="112"/>
      <c r="J2140" s="115"/>
    </row>
    <row r="2141" spans="1:11" ht="33.75" customHeight="1" x14ac:dyDescent="0.3">
      <c r="A2141" s="91"/>
      <c r="B2141" s="943" t="s">
        <v>501</v>
      </c>
      <c r="C2141" s="944"/>
      <c r="D2141" s="944"/>
      <c r="E2141" s="944"/>
      <c r="F2141" s="944"/>
      <c r="G2141" s="945"/>
      <c r="H2141" s="588"/>
      <c r="I2141" s="588"/>
      <c r="J2141" s="95"/>
    </row>
    <row r="2142" spans="1:11" ht="13" x14ac:dyDescent="0.3">
      <c r="A2142" s="91"/>
      <c r="B2142" s="74"/>
      <c r="C2142" s="74"/>
      <c r="D2142" s="74"/>
      <c r="E2142" s="74"/>
      <c r="F2142" s="74"/>
      <c r="G2142" s="74"/>
      <c r="H2142" s="84"/>
      <c r="I2142" s="84"/>
      <c r="J2142" s="95"/>
    </row>
    <row r="2143" spans="1:11" ht="13" x14ac:dyDescent="0.3">
      <c r="A2143" s="91"/>
      <c r="B2143" s="104" t="s">
        <v>424</v>
      </c>
      <c r="C2143" s="74"/>
      <c r="D2143" s="74"/>
      <c r="E2143" s="74"/>
      <c r="F2143" s="74"/>
      <c r="G2143" s="74"/>
      <c r="H2143" s="84"/>
      <c r="I2143" s="84"/>
      <c r="J2143" s="95"/>
    </row>
    <row r="2144" spans="1:11" ht="13" x14ac:dyDescent="0.3">
      <c r="A2144" s="91"/>
      <c r="B2144" s="104"/>
      <c r="C2144" s="74"/>
      <c r="D2144" s="74"/>
      <c r="E2144" s="74"/>
      <c r="F2144" s="74"/>
      <c r="G2144" s="74"/>
      <c r="H2144" s="84"/>
      <c r="I2144" s="84"/>
      <c r="J2144" s="95"/>
    </row>
    <row r="2145" spans="1:11" ht="13" x14ac:dyDescent="0.3">
      <c r="A2145" s="91"/>
      <c r="C2145" s="74" t="s">
        <v>414</v>
      </c>
      <c r="D2145">
        <f>60*693/1000</f>
        <v>41.58</v>
      </c>
      <c r="E2145" s="74" t="s">
        <v>415</v>
      </c>
      <c r="F2145" s="74"/>
      <c r="G2145" s="74"/>
      <c r="H2145" s="84"/>
      <c r="I2145" s="84"/>
      <c r="J2145" s="95"/>
    </row>
    <row r="2146" spans="1:11" ht="13" x14ac:dyDescent="0.3">
      <c r="A2146" s="91"/>
      <c r="B2146" s="74"/>
      <c r="C2146" s="74" t="s">
        <v>426</v>
      </c>
      <c r="D2146" s="1">
        <f>+D2145*0.7</f>
        <v>29.105999999999998</v>
      </c>
      <c r="E2146" s="74" t="s">
        <v>415</v>
      </c>
      <c r="F2146" s="74" t="s">
        <v>427</v>
      </c>
      <c r="G2146" s="74"/>
      <c r="H2146" s="84"/>
      <c r="I2146" s="84"/>
      <c r="J2146" s="95"/>
    </row>
    <row r="2147" spans="1:11" ht="13" x14ac:dyDescent="0.3">
      <c r="A2147" s="91"/>
      <c r="B2147" s="74"/>
      <c r="C2147" s="74" t="s">
        <v>115</v>
      </c>
      <c r="D2147" s="590">
        <f>+F2147</f>
        <v>0</v>
      </c>
      <c r="E2147" s="74" t="s">
        <v>417</v>
      </c>
      <c r="F2147" s="74"/>
      <c r="G2147" s="74"/>
      <c r="H2147" s="84"/>
      <c r="I2147" s="84"/>
      <c r="J2147" s="95"/>
    </row>
    <row r="2148" spans="1:11" ht="13" x14ac:dyDescent="0.3">
      <c r="A2148" s="91"/>
      <c r="B2148" s="74"/>
      <c r="C2148" s="74" t="s">
        <v>418</v>
      </c>
      <c r="D2148" s="594">
        <f>(F2148*D2146)</f>
        <v>0</v>
      </c>
      <c r="E2148" s="74" t="s">
        <v>417</v>
      </c>
      <c r="F2148" s="74"/>
      <c r="G2148" s="74" t="s">
        <v>419</v>
      </c>
      <c r="H2148" s="84"/>
      <c r="I2148" s="84"/>
      <c r="J2148" s="95"/>
    </row>
    <row r="2149" spans="1:11" ht="13" x14ac:dyDescent="0.3">
      <c r="A2149" s="91"/>
      <c r="B2149" s="74"/>
      <c r="C2149" s="74" t="s">
        <v>420</v>
      </c>
      <c r="D2149" s="190">
        <f>(D2146*31*24*0.33*F2149)</f>
        <v>13686.12048035232</v>
      </c>
      <c r="E2149" s="74" t="s">
        <v>417</v>
      </c>
      <c r="F2149" s="636">
        <f>+'Unit tariffs'!E165</f>
        <v>1.9151860000000001</v>
      </c>
      <c r="G2149" s="74" t="s">
        <v>428</v>
      </c>
      <c r="H2149" s="84"/>
      <c r="I2149" s="84"/>
      <c r="J2149" s="95"/>
    </row>
    <row r="2150" spans="1:11" ht="13" x14ac:dyDescent="0.3">
      <c r="A2150" s="91"/>
      <c r="B2150" s="74"/>
      <c r="C2150" s="74" t="s">
        <v>422</v>
      </c>
      <c r="D2150" s="595">
        <f>D2149+D2148+D2147</f>
        <v>13686.12048035232</v>
      </c>
      <c r="E2150" s="74"/>
      <c r="F2150" s="74"/>
      <c r="G2150" s="74"/>
      <c r="H2150" s="84"/>
      <c r="I2150" s="84"/>
      <c r="J2150" s="95"/>
    </row>
    <row r="2151" spans="1:11" ht="13" x14ac:dyDescent="0.3">
      <c r="A2151" s="91"/>
      <c r="B2151" s="74"/>
      <c r="C2151" s="74"/>
      <c r="D2151" s="596"/>
      <c r="E2151" s="74"/>
      <c r="F2151" s="74"/>
      <c r="G2151" s="74"/>
      <c r="H2151" s="84"/>
      <c r="I2151" s="84"/>
      <c r="J2151" s="95"/>
    </row>
    <row r="2152" spans="1:11" ht="13" x14ac:dyDescent="0.3">
      <c r="A2152" s="91"/>
      <c r="B2152" s="104" t="s">
        <v>425</v>
      </c>
      <c r="D2152" s="104">
        <v>3</v>
      </c>
      <c r="E2152" s="74"/>
      <c r="F2152" s="74"/>
      <c r="G2152" s="74"/>
      <c r="H2152" s="587">
        <v>41058.361441056957</v>
      </c>
      <c r="I2152" s="587">
        <f>+D2150*D2152</f>
        <v>41058.361441056957</v>
      </c>
      <c r="J2152" s="95"/>
    </row>
    <row r="2153" spans="1:11" ht="13" x14ac:dyDescent="0.3">
      <c r="A2153" s="91"/>
      <c r="B2153" s="74"/>
      <c r="C2153" s="74"/>
      <c r="D2153" s="74"/>
      <c r="E2153" s="74"/>
      <c r="F2153" s="74"/>
      <c r="G2153" s="74"/>
      <c r="H2153" s="597"/>
      <c r="I2153" s="597"/>
      <c r="J2153" s="95"/>
    </row>
    <row r="2154" spans="1:11" ht="13" x14ac:dyDescent="0.3">
      <c r="A2154" s="91"/>
      <c r="B2154" s="74"/>
      <c r="C2154" s="74"/>
      <c r="D2154" s="74"/>
      <c r="E2154" s="74"/>
      <c r="F2154" s="128"/>
      <c r="G2154" s="633" t="s">
        <v>435</v>
      </c>
      <c r="H2154" s="587">
        <v>41100</v>
      </c>
      <c r="I2154" s="587">
        <f>+ROUND(I2152,-2)</f>
        <v>41100</v>
      </c>
      <c r="J2154" s="95"/>
      <c r="K2154" s="589"/>
    </row>
    <row r="2155" spans="1:11" ht="13" x14ac:dyDescent="0.3">
      <c r="A2155" s="91"/>
      <c r="B2155" s="74"/>
      <c r="C2155" s="74"/>
      <c r="D2155" s="74"/>
      <c r="E2155" s="74"/>
      <c r="F2155" s="128"/>
      <c r="G2155" s="74"/>
      <c r="H2155" s="587"/>
      <c r="I2155" s="587"/>
      <c r="J2155" s="95"/>
    </row>
    <row r="2156" spans="1:11" ht="13" x14ac:dyDescent="0.3">
      <c r="A2156" s="91"/>
      <c r="B2156" s="74"/>
      <c r="C2156" s="74"/>
      <c r="D2156" s="74"/>
      <c r="E2156" s="74"/>
      <c r="F2156" s="128"/>
      <c r="G2156" s="74"/>
      <c r="H2156" s="598">
        <v>0</v>
      </c>
      <c r="I2156" s="598">
        <f>+(I2154-H2154)/H2154</f>
        <v>0</v>
      </c>
      <c r="J2156" s="95"/>
    </row>
    <row r="2157" spans="1:11" ht="13" x14ac:dyDescent="0.3">
      <c r="A2157" s="91"/>
      <c r="B2157" s="74"/>
      <c r="C2157" s="74"/>
      <c r="D2157" s="74"/>
      <c r="E2157" s="74"/>
      <c r="F2157" s="74"/>
      <c r="G2157" s="74"/>
      <c r="H2157" s="588"/>
      <c r="I2157" s="588"/>
      <c r="J2157" s="447" t="e">
        <f>IF(+I2254*'Unit tariffs'!#REF!&gt;'Unit tariffs'!#REF!,'Unit tariffs'!#REF!,+I2254*'Unit tariffs'!#REF!)</f>
        <v>#REF!</v>
      </c>
    </row>
    <row r="2158" spans="1:11" ht="13.5" thickBot="1" x14ac:dyDescent="0.35">
      <c r="A2158" s="448"/>
      <c r="B2158" s="123"/>
      <c r="C2158" s="123"/>
      <c r="D2158" s="123"/>
      <c r="E2158" s="123"/>
      <c r="F2158" s="123"/>
      <c r="G2158" s="123"/>
      <c r="H2158" s="123"/>
      <c r="I2158" s="123"/>
      <c r="J2158" s="447" t="e">
        <f>IF(+I2255*'Unit tariffs'!#REF!&gt;'Unit tariffs'!#REF!,'Unit tariffs'!#REF!,+I2255*'Unit tariffs'!#REF!)</f>
        <v>#REF!</v>
      </c>
    </row>
    <row r="2159" spans="1:11" ht="13.5" thickTop="1" x14ac:dyDescent="0.3">
      <c r="A2159" s="91"/>
      <c r="B2159" s="74"/>
      <c r="C2159" s="74"/>
      <c r="D2159" s="74"/>
      <c r="E2159" s="74"/>
      <c r="F2159" s="74"/>
      <c r="G2159" s="74"/>
      <c r="H2159" s="74"/>
      <c r="I2159" s="74"/>
      <c r="J2159" s="447"/>
    </row>
    <row r="2160" spans="1:11" ht="13.5" thickBot="1" x14ac:dyDescent="0.35">
      <c r="A2160" s="91"/>
      <c r="B2160" s="74"/>
      <c r="C2160" s="74"/>
      <c r="D2160" s="74"/>
      <c r="E2160" s="74"/>
      <c r="F2160" s="74"/>
      <c r="G2160" s="74"/>
      <c r="H2160" s="74"/>
      <c r="I2160" s="74"/>
      <c r="J2160" s="115"/>
    </row>
    <row r="2161" spans="1:10" ht="13.5" thickTop="1" x14ac:dyDescent="0.3">
      <c r="A2161" s="445"/>
      <c r="B2161" s="120" t="s">
        <v>1</v>
      </c>
      <c r="C2161" s="120"/>
      <c r="D2161" s="120"/>
      <c r="E2161" s="120"/>
      <c r="F2161" s="120"/>
      <c r="G2161" s="120"/>
      <c r="H2161" s="120"/>
      <c r="I2161" s="120"/>
      <c r="J2161" s="115"/>
    </row>
    <row r="2162" spans="1:10" ht="13" x14ac:dyDescent="0.3">
      <c r="A2162" s="91"/>
      <c r="B2162" s="92" t="s">
        <v>502</v>
      </c>
      <c r="C2162" s="93"/>
      <c r="D2162" s="93"/>
      <c r="E2162" s="93"/>
      <c r="F2162" s="93"/>
      <c r="G2162" s="93"/>
      <c r="H2162" s="94"/>
      <c r="I2162" s="94"/>
      <c r="J2162" s="115"/>
    </row>
    <row r="2163" spans="1:10" ht="13" x14ac:dyDescent="0.3">
      <c r="A2163" s="91"/>
      <c r="B2163" s="104"/>
      <c r="C2163" s="74"/>
      <c r="D2163" s="74"/>
      <c r="E2163" s="74"/>
      <c r="F2163" s="74"/>
      <c r="G2163" s="74"/>
      <c r="H2163" s="74"/>
      <c r="I2163" s="74"/>
      <c r="J2163" s="115"/>
    </row>
    <row r="2164" spans="1:10" ht="13" x14ac:dyDescent="0.3">
      <c r="A2164" s="91"/>
      <c r="B2164" s="104" t="s">
        <v>247</v>
      </c>
      <c r="C2164" s="74"/>
      <c r="D2164" s="74"/>
      <c r="E2164" s="74"/>
      <c r="F2164" s="74"/>
      <c r="G2164" s="74"/>
      <c r="H2164" s="74"/>
      <c r="I2164" s="74"/>
      <c r="J2164" s="115"/>
    </row>
    <row r="2165" spans="1:10" ht="13" x14ac:dyDescent="0.3">
      <c r="A2165" s="91"/>
      <c r="B2165" s="74"/>
      <c r="C2165" s="74"/>
      <c r="D2165" s="74"/>
      <c r="E2165" s="74"/>
      <c r="F2165" s="74"/>
      <c r="G2165" s="74"/>
      <c r="H2165" s="103" t="s">
        <v>451</v>
      </c>
      <c r="I2165" s="103" t="str">
        <f>+'Unit tariffs'!$F$11</f>
        <v>2026/2027</v>
      </c>
      <c r="J2165" s="115"/>
    </row>
    <row r="2166" spans="1:10" ht="13" x14ac:dyDescent="0.3">
      <c r="A2166" s="91"/>
      <c r="B2166" s="104" t="s">
        <v>62</v>
      </c>
      <c r="C2166" s="74"/>
      <c r="D2166" s="74"/>
      <c r="E2166" s="74"/>
      <c r="F2166" s="74"/>
      <c r="G2166" s="74"/>
      <c r="H2166" s="74"/>
      <c r="I2166" s="74"/>
      <c r="J2166" s="115"/>
    </row>
    <row r="2167" spans="1:10" ht="13" x14ac:dyDescent="0.3">
      <c r="A2167" s="91"/>
      <c r="B2167" s="74"/>
      <c r="C2167" s="74"/>
      <c r="D2167" s="74"/>
      <c r="E2167" s="74"/>
      <c r="F2167" s="74"/>
      <c r="G2167" s="76"/>
      <c r="H2167" s="76"/>
      <c r="I2167" s="76"/>
      <c r="J2167" s="115"/>
    </row>
    <row r="2168" spans="1:10" ht="13" x14ac:dyDescent="0.3">
      <c r="A2168" s="91"/>
      <c r="B2168" s="104" t="s">
        <v>42</v>
      </c>
      <c r="C2168" s="74"/>
      <c r="D2168" s="74"/>
      <c r="E2168" s="74"/>
      <c r="F2168" s="74"/>
      <c r="G2168" s="74"/>
      <c r="H2168" s="74"/>
      <c r="I2168" s="74"/>
      <c r="J2168" s="115"/>
    </row>
    <row r="2169" spans="1:10" ht="13" x14ac:dyDescent="0.3">
      <c r="A2169" s="91"/>
      <c r="B2169" s="74"/>
      <c r="C2169" s="74"/>
      <c r="D2169" s="74"/>
      <c r="E2169" s="74"/>
      <c r="F2169" s="74"/>
      <c r="G2169" s="74"/>
      <c r="H2169" s="74"/>
      <c r="I2169" s="74"/>
      <c r="J2169" s="115"/>
    </row>
    <row r="2170" spans="1:10" ht="13" x14ac:dyDescent="0.3">
      <c r="A2170" s="91"/>
      <c r="B2170" s="74">
        <v>2</v>
      </c>
      <c r="C2170" s="74" t="str">
        <f>'Unit tariffs'!B91</f>
        <v>hour-First Eng Assistant</v>
      </c>
      <c r="D2170" s="74"/>
      <c r="E2170" s="74"/>
      <c r="F2170" s="74"/>
      <c r="G2170" s="74"/>
      <c r="H2170" s="76">
        <v>684.64114615384619</v>
      </c>
      <c r="I2170" s="76">
        <f>VLOOKUP($C2170,'Unit tariffs'!$B$21:$F$123,5,FALSE)*$B2170</f>
        <v>842.7119815384616</v>
      </c>
      <c r="J2170" s="115"/>
    </row>
    <row r="2171" spans="1:10" ht="13" x14ac:dyDescent="0.3">
      <c r="A2171" s="91"/>
      <c r="B2171" s="74">
        <v>2</v>
      </c>
      <c r="C2171" s="74" t="s">
        <v>68</v>
      </c>
      <c r="D2171" s="74"/>
      <c r="E2171" s="74"/>
      <c r="F2171" s="74"/>
      <c r="G2171" s="74"/>
      <c r="H2171" s="76">
        <v>684.64114615384619</v>
      </c>
      <c r="I2171" s="76">
        <f>VLOOKUP($C2171,'Unit tariffs'!$B$21:$F$123,5,FALSE)*$B2171</f>
        <v>948.69216923076931</v>
      </c>
      <c r="J2171" s="115"/>
    </row>
    <row r="2172" spans="1:10" ht="13" x14ac:dyDescent="0.3">
      <c r="A2172" s="91"/>
      <c r="B2172" s="74">
        <v>16</v>
      </c>
      <c r="C2172" s="74" t="s">
        <v>69</v>
      </c>
      <c r="D2172" s="74"/>
      <c r="E2172" s="74"/>
      <c r="F2172" s="74"/>
      <c r="G2172" s="74"/>
      <c r="H2172" s="76">
        <v>3058.0781076923081</v>
      </c>
      <c r="I2172" s="76">
        <f>VLOOKUP($C2172,'Unit tariffs'!$B$21:$F$123,5,FALSE)*$B2172</f>
        <v>3764.2785230769236</v>
      </c>
      <c r="J2172" s="115"/>
    </row>
    <row r="2173" spans="1:10" ht="13" x14ac:dyDescent="0.3">
      <c r="A2173" s="91"/>
      <c r="B2173" s="74">
        <v>18</v>
      </c>
      <c r="C2173" s="74" t="str">
        <f>'Unit tariffs'!B89</f>
        <v xml:space="preserve">hour-Eng asst </v>
      </c>
      <c r="D2173" s="74"/>
      <c r="E2173" s="74"/>
      <c r="F2173" s="74"/>
      <c r="G2173" s="74"/>
      <c r="H2173" s="81">
        <v>4780.1894019230776</v>
      </c>
      <c r="I2173" s="81">
        <f>VLOOKUP($C2173,'Unit tariffs'!$B$21:$F$123,5,FALSE)*$B2173</f>
        <v>5522.7712430769234</v>
      </c>
      <c r="J2173" s="115"/>
    </row>
    <row r="2174" spans="1:10" ht="13" x14ac:dyDescent="0.3">
      <c r="A2174" s="91"/>
      <c r="B2174" s="74"/>
      <c r="C2174" s="74"/>
      <c r="D2174" s="74"/>
      <c r="E2174" s="74"/>
      <c r="F2174" s="74"/>
      <c r="G2174" s="74"/>
      <c r="H2174" s="76">
        <v>9207.5498019230781</v>
      </c>
      <c r="I2174" s="76">
        <f>SUM(I2170:I2173)</f>
        <v>11078.453916923077</v>
      </c>
      <c r="J2174" s="115"/>
    </row>
    <row r="2175" spans="1:10" ht="13" x14ac:dyDescent="0.3">
      <c r="A2175" s="91"/>
      <c r="B2175" s="104" t="s">
        <v>70</v>
      </c>
      <c r="C2175" s="74"/>
      <c r="D2175" s="74"/>
      <c r="E2175" s="74"/>
      <c r="F2175" s="74"/>
      <c r="G2175" s="74"/>
      <c r="H2175" s="74"/>
      <c r="I2175" s="74"/>
      <c r="J2175" s="115"/>
    </row>
    <row r="2176" spans="1:10" ht="13" x14ac:dyDescent="0.3">
      <c r="A2176" s="91"/>
      <c r="B2176" s="74"/>
      <c r="C2176" s="74"/>
      <c r="D2176" s="74"/>
      <c r="E2176" s="74"/>
      <c r="F2176" s="74"/>
      <c r="G2176" s="74"/>
      <c r="H2176" s="74"/>
      <c r="I2176" s="74"/>
      <c r="J2176" s="115"/>
    </row>
    <row r="2177" spans="1:10" ht="13" x14ac:dyDescent="0.3">
      <c r="A2177" s="91"/>
      <c r="B2177" s="74">
        <v>1</v>
      </c>
      <c r="C2177" s="74" t="s">
        <v>71</v>
      </c>
      <c r="D2177" s="74"/>
      <c r="E2177" s="74"/>
      <c r="F2177" s="74"/>
      <c r="G2177" s="74"/>
      <c r="H2177" s="76">
        <v>0</v>
      </c>
      <c r="I2177" s="76">
        <f>H2177*(1+'Unit tariffs'!$F$2)</f>
        <v>0</v>
      </c>
      <c r="J2177" s="115"/>
    </row>
    <row r="2178" spans="1:10" ht="13" x14ac:dyDescent="0.3">
      <c r="A2178" s="91"/>
      <c r="B2178" s="74">
        <v>1</v>
      </c>
      <c r="C2178" s="74" t="s">
        <v>72</v>
      </c>
      <c r="D2178" s="74"/>
      <c r="E2178" s="74"/>
      <c r="F2178" s="74"/>
      <c r="G2178" s="74"/>
      <c r="H2178" s="76">
        <v>0</v>
      </c>
      <c r="I2178" s="76">
        <f>H2178*(1+'Unit tariffs'!$F$2)</f>
        <v>0</v>
      </c>
      <c r="J2178" s="115"/>
    </row>
    <row r="2179" spans="1:10" ht="13" x14ac:dyDescent="0.3">
      <c r="A2179" s="91"/>
      <c r="B2179" s="74">
        <v>1</v>
      </c>
      <c r="C2179" s="74" t="s">
        <v>73</v>
      </c>
      <c r="D2179" s="74"/>
      <c r="E2179" s="74"/>
      <c r="F2179" s="74"/>
      <c r="G2179" s="74"/>
      <c r="H2179" s="76">
        <v>0</v>
      </c>
      <c r="I2179" s="76">
        <f>H2179*(1+'Unit tariffs'!$F$2)</f>
        <v>0</v>
      </c>
      <c r="J2179" s="115"/>
    </row>
    <row r="2180" spans="1:10" ht="13" x14ac:dyDescent="0.3">
      <c r="A2180" s="91"/>
      <c r="B2180" s="74"/>
      <c r="C2180" s="74"/>
      <c r="D2180" s="74"/>
      <c r="E2180" s="74"/>
      <c r="F2180" s="74"/>
      <c r="G2180" s="74"/>
      <c r="H2180" s="137">
        <v>0</v>
      </c>
      <c r="I2180" s="137">
        <f>SUM(I2177:I2179)</f>
        <v>0</v>
      </c>
      <c r="J2180" s="115"/>
    </row>
    <row r="2181" spans="1:10" ht="13" x14ac:dyDescent="0.3">
      <c r="A2181" s="91"/>
      <c r="B2181" s="74"/>
      <c r="C2181" s="74"/>
      <c r="D2181" s="74"/>
      <c r="E2181" s="74"/>
      <c r="F2181" s="74"/>
      <c r="G2181" s="74"/>
      <c r="H2181" s="76"/>
      <c r="I2181" s="76"/>
      <c r="J2181" s="115"/>
    </row>
    <row r="2182" spans="1:10" ht="13.5" thickBot="1" x14ac:dyDescent="0.35">
      <c r="A2182" s="91"/>
      <c r="B2182" s="104" t="s">
        <v>248</v>
      </c>
      <c r="C2182" s="74"/>
      <c r="D2182" s="74"/>
      <c r="E2182" s="74"/>
      <c r="F2182" s="74"/>
      <c r="G2182" s="74"/>
      <c r="H2182" s="76"/>
      <c r="I2182" s="76"/>
      <c r="J2182" s="462"/>
    </row>
    <row r="2183" spans="1:10" ht="13" x14ac:dyDescent="0.3">
      <c r="A2183" s="91"/>
      <c r="B2183" s="104" t="s">
        <v>41</v>
      </c>
      <c r="C2183" s="74"/>
      <c r="D2183" s="74"/>
      <c r="E2183" s="74"/>
      <c r="F2183" s="74"/>
      <c r="G2183" s="74"/>
      <c r="H2183" s="76"/>
      <c r="I2183" s="76"/>
    </row>
    <row r="2184" spans="1:10" ht="13" x14ac:dyDescent="0.3">
      <c r="A2184" s="91"/>
      <c r="B2184" s="74">
        <v>1</v>
      </c>
      <c r="C2184" s="74" t="str">
        <f>+'Unit tariffs'!B45</f>
        <v xml:space="preserve">METER: COMB KWH/KVA </v>
      </c>
      <c r="D2184" s="74"/>
      <c r="E2184" s="74"/>
      <c r="F2184" s="74"/>
      <c r="G2184" s="74"/>
      <c r="H2184" s="76">
        <v>4982.0093302828</v>
      </c>
      <c r="I2184" s="76">
        <f>VLOOKUP($C2184,'Unit tariffs'!$B$21:$F$123,5,FALSE)*$B2184</f>
        <v>5401.0797399999992</v>
      </c>
    </row>
    <row r="2185" spans="1:10" ht="13" x14ac:dyDescent="0.3">
      <c r="A2185" s="91"/>
      <c r="B2185" s="74">
        <v>1</v>
      </c>
      <c r="C2185" s="74" t="str">
        <f>'Unit tariffs'!B47</f>
        <v>Modum for TOU meter</v>
      </c>
      <c r="D2185" s="74"/>
      <c r="E2185" s="74"/>
      <c r="F2185" s="74"/>
      <c r="G2185" s="74"/>
      <c r="H2185" s="76">
        <v>3707.5418271871995</v>
      </c>
      <c r="I2185" s="76">
        <f>VLOOKUP($C2185,'Unit tariffs'!$B$21:$F$123,5,FALSE)*$B2185</f>
        <v>338.07595359999993</v>
      </c>
    </row>
    <row r="2186" spans="1:10" ht="13" x14ac:dyDescent="0.3">
      <c r="A2186" s="91"/>
      <c r="B2186" s="74">
        <v>12.2</v>
      </c>
      <c r="C2186" s="74" t="str">
        <f>'Unit tariffs'!B21</f>
        <v>Installation material</v>
      </c>
      <c r="D2186" s="74"/>
      <c r="E2186" s="74"/>
      <c r="F2186" s="74"/>
      <c r="G2186" s="74"/>
      <c r="H2186" s="81">
        <v>3311.5802000000003</v>
      </c>
      <c r="I2186" s="81">
        <f>VLOOKUP($C2186,'Unit tariffs'!$B$21:$F$123,5,FALSE)*$B2186</f>
        <v>3446.2956499999996</v>
      </c>
    </row>
    <row r="2187" spans="1:10" ht="13" x14ac:dyDescent="0.3">
      <c r="A2187" s="91"/>
      <c r="B2187" s="104"/>
      <c r="C2187" s="74"/>
      <c r="D2187" s="74"/>
      <c r="E2187" s="74"/>
      <c r="F2187" s="74"/>
      <c r="G2187" s="74"/>
      <c r="H2187" s="76">
        <v>12001.13135747</v>
      </c>
      <c r="I2187" s="76">
        <f>SUM(I2184:I2186)</f>
        <v>9185.4513435999979</v>
      </c>
    </row>
    <row r="2188" spans="1:10" ht="13" x14ac:dyDescent="0.3">
      <c r="A2188" s="91"/>
      <c r="B2188" s="104"/>
      <c r="C2188" s="74"/>
      <c r="D2188" s="74"/>
      <c r="E2188" s="74"/>
      <c r="F2188" s="74"/>
      <c r="G2188" s="74"/>
      <c r="H2188" s="76"/>
      <c r="I2188" s="76"/>
    </row>
    <row r="2189" spans="1:10" ht="13" x14ac:dyDescent="0.3">
      <c r="A2189" s="91"/>
      <c r="B2189" s="104" t="s">
        <v>42</v>
      </c>
      <c r="C2189" s="74"/>
      <c r="D2189" s="74"/>
      <c r="E2189" s="74"/>
      <c r="F2189" s="74"/>
      <c r="G2189" s="74"/>
      <c r="H2189" s="74"/>
      <c r="I2189" s="74"/>
    </row>
    <row r="2190" spans="1:10" ht="13" x14ac:dyDescent="0.3">
      <c r="A2190" s="91"/>
      <c r="B2190" s="74"/>
      <c r="C2190" s="74"/>
      <c r="D2190" s="74"/>
      <c r="E2190" s="74"/>
      <c r="F2190" s="74"/>
      <c r="G2190" s="74"/>
      <c r="H2190" s="74"/>
      <c r="I2190" s="74"/>
    </row>
    <row r="2191" spans="1:10" ht="13" x14ac:dyDescent="0.3">
      <c r="A2191" s="91"/>
      <c r="B2191" s="74">
        <v>0.75</v>
      </c>
      <c r="C2191" s="74" t="str">
        <f>'Unit tariffs'!B$86</f>
        <v>hour-meter assistant</v>
      </c>
      <c r="D2191" s="74"/>
      <c r="E2191" s="74"/>
      <c r="F2191" s="74"/>
      <c r="G2191" s="74"/>
      <c r="H2191" s="76">
        <v>96.401855769230792</v>
      </c>
      <c r="I2191" s="76">
        <f>VLOOKUP($C2191,'Unit tariffs'!$B$21:$F$123,5,FALSE)*$B2191</f>
        <v>104.86819384615386</v>
      </c>
    </row>
    <row r="2192" spans="1:10" ht="13" x14ac:dyDescent="0.3">
      <c r="A2192" s="91"/>
      <c r="B2192" s="74">
        <v>3.6</v>
      </c>
      <c r="C2192" s="74" t="str">
        <f>'Unit tariffs'!B$87</f>
        <v xml:space="preserve">hour-artisan </v>
      </c>
      <c r="D2192" s="74"/>
      <c r="E2192" s="74"/>
      <c r="F2192" s="74"/>
      <c r="G2192" s="74"/>
      <c r="H2192" s="76">
        <v>1162.2680342307692</v>
      </c>
      <c r="I2192" s="76">
        <f>VLOOKUP($C2192,'Unit tariffs'!$B$21:$F$123,5,FALSE)*$B2192</f>
        <v>1264.2939581538465</v>
      </c>
    </row>
    <row r="2193" spans="1:9" ht="13" x14ac:dyDescent="0.3">
      <c r="A2193" s="91"/>
      <c r="B2193" s="74">
        <v>3</v>
      </c>
      <c r="C2193" s="74" t="str">
        <f>'Unit tariffs'!B$85</f>
        <v>hour-artisan assistant</v>
      </c>
      <c r="D2193" s="74"/>
      <c r="E2193" s="74"/>
      <c r="F2193" s="74"/>
      <c r="G2193" s="74"/>
      <c r="H2193" s="81">
        <v>385.60742307692317</v>
      </c>
      <c r="I2193" s="81">
        <f>VLOOKUP($C2193,'Unit tariffs'!$B$21:$F$123,5,FALSE)*$B2193</f>
        <v>419.47277538461543</v>
      </c>
    </row>
    <row r="2194" spans="1:9" ht="13" x14ac:dyDescent="0.3">
      <c r="A2194" s="91"/>
      <c r="B2194" s="74"/>
      <c r="C2194" s="74"/>
      <c r="D2194" s="74"/>
      <c r="E2194" s="74"/>
      <c r="F2194" s="74"/>
      <c r="G2194" s="74"/>
      <c r="H2194" s="76">
        <v>1644.2773130769233</v>
      </c>
      <c r="I2194" s="76">
        <f>SUM(I2191:I2193)</f>
        <v>1788.6349273846158</v>
      </c>
    </row>
    <row r="2195" spans="1:9" ht="13.5" thickBot="1" x14ac:dyDescent="0.35">
      <c r="A2195" s="91"/>
      <c r="B2195" s="104"/>
      <c r="C2195" s="74"/>
      <c r="D2195" s="74"/>
      <c r="E2195" s="74"/>
      <c r="F2195" s="74"/>
      <c r="G2195" s="74"/>
      <c r="H2195" s="108"/>
      <c r="I2195" s="108"/>
    </row>
    <row r="2196" spans="1:9" ht="13.5" thickTop="1" x14ac:dyDescent="0.3">
      <c r="A2196" s="91"/>
      <c r="B2196" s="74"/>
      <c r="C2196" s="74"/>
      <c r="D2196" s="74"/>
      <c r="E2196" s="74"/>
      <c r="F2196" s="74"/>
      <c r="G2196" s="74"/>
      <c r="H2196" s="76">
        <v>13645.408670546924</v>
      </c>
      <c r="I2196" s="76">
        <f>I2194+I2187</f>
        <v>10974.086270984613</v>
      </c>
    </row>
    <row r="2197" spans="1:9" ht="13" x14ac:dyDescent="0.3">
      <c r="A2197" s="91"/>
      <c r="B2197" s="104"/>
      <c r="C2197" s="74"/>
      <c r="D2197" s="74"/>
      <c r="E2197" s="74"/>
      <c r="F2197" s="74"/>
      <c r="G2197" s="74"/>
      <c r="H2197" s="76"/>
      <c r="I2197" s="76"/>
    </row>
    <row r="2198" spans="1:9" ht="13" x14ac:dyDescent="0.3">
      <c r="A2198" s="91"/>
      <c r="B2198" s="104" t="s">
        <v>43</v>
      </c>
      <c r="C2198" s="74"/>
      <c r="D2198" s="74"/>
      <c r="E2198" s="74"/>
      <c r="F2198" s="74"/>
      <c r="G2198" s="74"/>
      <c r="H2198" s="74"/>
      <c r="I2198" s="74"/>
    </row>
    <row r="2199" spans="1:9" ht="13" x14ac:dyDescent="0.3">
      <c r="A2199" s="91"/>
      <c r="B2199" s="74"/>
      <c r="C2199" s="74"/>
      <c r="D2199" s="74"/>
      <c r="E2199" s="74"/>
      <c r="F2199" s="74"/>
      <c r="G2199" s="74"/>
      <c r="H2199" s="74"/>
      <c r="I2199" s="74"/>
    </row>
    <row r="2200" spans="1:9" ht="13" x14ac:dyDescent="0.3">
      <c r="A2200" s="91"/>
      <c r="B2200" s="74">
        <v>24</v>
      </c>
      <c r="C2200" s="74" t="str">
        <f>'Unit tariffs'!B$115</f>
        <v>km-panel van</v>
      </c>
      <c r="D2200" s="74"/>
      <c r="E2200" s="74"/>
      <c r="F2200" s="74"/>
      <c r="G2200" s="74"/>
      <c r="H2200" s="76">
        <v>561.73212692749291</v>
      </c>
      <c r="I2200" s="76">
        <f>VLOOKUP($C2200,'Unit tariffs'!$B$21:$F$123,5,FALSE)*$B2200</f>
        <v>657.25769779100983</v>
      </c>
    </row>
    <row r="2201" spans="1:9" ht="13" x14ac:dyDescent="0.3">
      <c r="A2201" s="91"/>
      <c r="B2201" s="74">
        <f>+B2193</f>
        <v>3</v>
      </c>
      <c r="C2201" s="74" t="str">
        <f>'Unit tariffs'!B$116</f>
        <v>hour-panel van</v>
      </c>
      <c r="D2201" s="74"/>
      <c r="E2201" s="74"/>
      <c r="F2201" s="74"/>
      <c r="G2201" s="74"/>
      <c r="H2201" s="76">
        <v>613.68471357523219</v>
      </c>
      <c r="I2201" s="76">
        <f>VLOOKUP($C2201,'Unit tariffs'!$B$21:$F$123,5,FALSE)*$B2201</f>
        <v>718.04510135496616</v>
      </c>
    </row>
    <row r="2202" spans="1:9" ht="13" x14ac:dyDescent="0.3">
      <c r="A2202" s="91"/>
      <c r="B2202" s="74"/>
      <c r="C2202" s="74"/>
      <c r="D2202" s="74"/>
      <c r="E2202" s="74"/>
      <c r="F2202" s="74"/>
      <c r="G2202" s="74"/>
      <c r="H2202" s="137">
        <v>1175.4168405027251</v>
      </c>
      <c r="I2202" s="137">
        <f>SUM(I2200:I2201)</f>
        <v>1375.302799145976</v>
      </c>
    </row>
    <row r="2203" spans="1:9" ht="13.5" thickBot="1" x14ac:dyDescent="0.35">
      <c r="A2203" s="91"/>
      <c r="B2203" s="104"/>
      <c r="C2203" s="74"/>
      <c r="D2203" s="106"/>
      <c r="E2203" s="74"/>
      <c r="F2203" s="74"/>
      <c r="G2203" s="74"/>
      <c r="H2203" s="108"/>
      <c r="I2203" s="108"/>
    </row>
    <row r="2204" spans="1:9" ht="13.5" thickTop="1" x14ac:dyDescent="0.3">
      <c r="A2204" s="91"/>
      <c r="B2204" s="74"/>
      <c r="C2204" s="74"/>
      <c r="D2204" s="74"/>
      <c r="E2204" s="74"/>
      <c r="F2204" s="74"/>
      <c r="G2204" s="76"/>
      <c r="H2204" s="76">
        <v>24028.37531297273</v>
      </c>
      <c r="I2204" s="76">
        <f>I2180+I2174+I2196+I2202</f>
        <v>23427.842987053664</v>
      </c>
    </row>
    <row r="2205" spans="1:9" ht="13.5" thickBot="1" x14ac:dyDescent="0.35">
      <c r="A2205" s="91"/>
      <c r="B2205" s="104" t="str">
        <f>'Unit tariffs'!$B$7</f>
        <v>Administration Levy (Indirect Cost)</v>
      </c>
      <c r="C2205" s="74"/>
      <c r="D2205" s="106">
        <f>'Unit tariffs'!$C$7</f>
        <v>0.1</v>
      </c>
      <c r="E2205" s="74" t="s">
        <v>311</v>
      </c>
      <c r="F2205" s="186">
        <f>+'Unit tariffs'!$F$7</f>
        <v>10000</v>
      </c>
      <c r="G2205" s="76"/>
      <c r="H2205" s="108">
        <v>2402.837531297273</v>
      </c>
      <c r="I2205" s="108">
        <f>IF(I2204*$D2205&gt;='Unit tariffs'!$E$7,'Unit tariffs'!$E$7,I2204*$D2205)</f>
        <v>2342.7842987053664</v>
      </c>
    </row>
    <row r="2206" spans="1:9" ht="13.5" thickTop="1" x14ac:dyDescent="0.3">
      <c r="A2206" s="91"/>
      <c r="B2206" s="104" t="s">
        <v>44</v>
      </c>
      <c r="C2206" s="74"/>
      <c r="D2206" s="74"/>
      <c r="E2206" s="74"/>
      <c r="F2206" s="74"/>
      <c r="G2206" s="76"/>
      <c r="H2206" s="109">
        <v>26431.212844270005</v>
      </c>
      <c r="I2206" s="109">
        <f>SUM(I2204:I2205)</f>
        <v>25770.62728575903</v>
      </c>
    </row>
    <row r="2207" spans="1:9" ht="13" x14ac:dyDescent="0.3">
      <c r="A2207" s="91"/>
      <c r="B2207" s="74"/>
      <c r="C2207" s="74"/>
      <c r="D2207" s="74"/>
      <c r="E2207" s="74"/>
      <c r="F2207" s="74"/>
      <c r="G2207" s="74"/>
      <c r="H2207" s="74"/>
      <c r="I2207" s="74"/>
    </row>
    <row r="2208" spans="1:9" ht="13" x14ac:dyDescent="0.3">
      <c r="A2208" s="91"/>
      <c r="B2208" s="104" t="s">
        <v>45</v>
      </c>
      <c r="C2208" s="74"/>
      <c r="D2208" s="74"/>
      <c r="E2208" s="74"/>
      <c r="F2208" s="74"/>
      <c r="G2208" s="74"/>
      <c r="H2208" s="84">
        <v>26430</v>
      </c>
      <c r="I2208" s="84">
        <f>ROUND(I2206,-1)</f>
        <v>25770</v>
      </c>
    </row>
    <row r="2209" spans="1:10" ht="13" x14ac:dyDescent="0.3">
      <c r="A2209" s="91"/>
      <c r="B2209" s="74"/>
      <c r="C2209" s="74"/>
      <c r="D2209" s="74"/>
      <c r="E2209" s="74"/>
      <c r="F2209" s="74"/>
      <c r="G2209" s="74"/>
      <c r="H2209" s="76"/>
      <c r="I2209" s="76"/>
    </row>
    <row r="2210" spans="1:10" ht="13" x14ac:dyDescent="0.3">
      <c r="A2210" s="91"/>
      <c r="B2210" s="74"/>
      <c r="C2210" s="74"/>
      <c r="D2210" s="74"/>
      <c r="E2210" s="74"/>
      <c r="F2210" s="74"/>
      <c r="G2210" s="74"/>
      <c r="H2210" s="112">
        <v>0</v>
      </c>
      <c r="I2210" s="112">
        <f>(I2208-H2208)/H2208</f>
        <v>-2.4971623155505107E-2</v>
      </c>
    </row>
    <row r="2211" spans="1:10" ht="13" x14ac:dyDescent="0.3">
      <c r="A2211" s="91"/>
      <c r="B2211" s="74"/>
      <c r="C2211" s="74"/>
      <c r="D2211" s="74"/>
      <c r="E2211" s="74"/>
      <c r="F2211" s="74"/>
      <c r="G2211" s="74"/>
      <c r="H2211" s="112"/>
      <c r="I2211" s="112"/>
      <c r="J2211" s="95"/>
    </row>
    <row r="2212" spans="1:10" ht="13" x14ac:dyDescent="0.3">
      <c r="A2212" s="91"/>
      <c r="B2212" s="946" t="s">
        <v>503</v>
      </c>
      <c r="C2212" s="947"/>
      <c r="D2212" s="947"/>
      <c r="E2212" s="947"/>
      <c r="F2212" s="947"/>
      <c r="G2212" s="948"/>
      <c r="H2212" s="84"/>
      <c r="I2212" s="84"/>
      <c r="J2212" s="95"/>
    </row>
    <row r="2213" spans="1:10" ht="13" x14ac:dyDescent="0.3">
      <c r="A2213" s="91"/>
      <c r="B2213" s="74"/>
      <c r="C2213" s="74"/>
      <c r="D2213" s="74"/>
      <c r="E2213" s="74"/>
      <c r="F2213" s="74"/>
      <c r="G2213" s="74"/>
      <c r="H2213" s="84"/>
      <c r="I2213" s="84"/>
      <c r="J2213" s="95"/>
    </row>
    <row r="2214" spans="1:10" ht="13" x14ac:dyDescent="0.3">
      <c r="A2214" s="91"/>
      <c r="B2214" s="104" t="s">
        <v>424</v>
      </c>
      <c r="C2214" s="74"/>
      <c r="D2214" s="74"/>
      <c r="E2214" s="74"/>
      <c r="F2214" s="74"/>
      <c r="G2214" s="74"/>
      <c r="H2214" s="84"/>
      <c r="I2214" s="84"/>
      <c r="J2214" s="95"/>
    </row>
    <row r="2215" spans="1:10" ht="13" x14ac:dyDescent="0.3">
      <c r="A2215" s="91"/>
      <c r="B2215" s="104"/>
      <c r="C2215" s="74"/>
      <c r="D2215" s="74"/>
      <c r="E2215" s="74"/>
      <c r="F2215" s="74"/>
      <c r="G2215" s="74"/>
      <c r="H2215" s="84"/>
      <c r="I2215" s="84"/>
      <c r="J2215" s="95"/>
    </row>
    <row r="2216" spans="1:10" ht="13" x14ac:dyDescent="0.3">
      <c r="A2216" s="91"/>
      <c r="C2216" s="74" t="s">
        <v>414</v>
      </c>
      <c r="D2216">
        <v>300</v>
      </c>
      <c r="E2216" s="74" t="s">
        <v>415</v>
      </c>
      <c r="F2216" s="74"/>
      <c r="G2216" s="74"/>
      <c r="H2216" s="84"/>
      <c r="I2216" s="84"/>
      <c r="J2216" s="95"/>
    </row>
    <row r="2217" spans="1:10" ht="13" x14ac:dyDescent="0.3">
      <c r="A2217" s="91"/>
      <c r="B2217" s="74"/>
      <c r="C2217" s="74" t="s">
        <v>426</v>
      </c>
      <c r="D2217" s="1">
        <f>D2216*0.7</f>
        <v>210</v>
      </c>
      <c r="E2217" t="s">
        <v>415</v>
      </c>
      <c r="F2217" s="600" t="s">
        <v>429</v>
      </c>
      <c r="G2217"/>
      <c r="H2217" s="84"/>
      <c r="I2217" s="84"/>
      <c r="J2217" s="95"/>
    </row>
    <row r="2218" spans="1:10" ht="13" x14ac:dyDescent="0.3">
      <c r="A2218" s="91"/>
      <c r="B2218" s="74"/>
      <c r="C2218" s="74" t="s">
        <v>115</v>
      </c>
      <c r="D2218" s="590">
        <f>+F2218</f>
        <v>1671.7533001995</v>
      </c>
      <c r="E2218" s="591" t="s">
        <v>417</v>
      </c>
      <c r="F2218" s="592">
        <f>+'Unit tariffs'!$F$167</f>
        <v>1671.7533001995</v>
      </c>
      <c r="G2218" s="593"/>
      <c r="H2218" s="84"/>
      <c r="I2218" s="84"/>
      <c r="J2218" s="95"/>
    </row>
    <row r="2219" spans="1:10" ht="13" x14ac:dyDescent="0.3">
      <c r="A2219" s="91"/>
      <c r="B2219" s="74"/>
      <c r="C2219" s="74" t="s">
        <v>418</v>
      </c>
      <c r="D2219" s="594">
        <f>(F2219*D2217)</f>
        <v>40678.935371403</v>
      </c>
      <c r="E2219" s="591" t="s">
        <v>417</v>
      </c>
      <c r="F2219" s="638">
        <f>+'Unit tariffs'!$F$168</f>
        <v>193.70921605429999</v>
      </c>
      <c r="G2219" t="s">
        <v>419</v>
      </c>
      <c r="H2219" s="84"/>
      <c r="I2219" s="84"/>
      <c r="J2219" s="95"/>
    </row>
    <row r="2220" spans="1:10" ht="13" x14ac:dyDescent="0.3">
      <c r="A2220" s="91"/>
      <c r="B2220" s="74"/>
      <c r="C2220" s="74" t="s">
        <v>420</v>
      </c>
      <c r="D2220" s="190">
        <f>(D2217*26*24*0.33*F2220)</f>
        <v>58017.038363876607</v>
      </c>
      <c r="E2220" s="591" t="s">
        <v>417</v>
      </c>
      <c r="F2220" s="639">
        <f>+'Unit tariffs'!$F$169</f>
        <v>1.3416453538100002</v>
      </c>
      <c r="G2220" t="s">
        <v>421</v>
      </c>
      <c r="H2220" s="84"/>
      <c r="I2220" s="84"/>
      <c r="J2220" s="95"/>
    </row>
    <row r="2221" spans="1:10" ht="13" x14ac:dyDescent="0.3">
      <c r="A2221" s="91"/>
      <c r="B2221" s="74"/>
      <c r="C2221" s="74" t="s">
        <v>422</v>
      </c>
      <c r="D2221" s="595">
        <f>D2220+D2219+D2218</f>
        <v>100367.72703547911</v>
      </c>
      <c r="E2221"/>
      <c r="F2221"/>
      <c r="G2221"/>
      <c r="H2221" s="84"/>
      <c r="I2221" s="84"/>
      <c r="J2221" s="95"/>
    </row>
    <row r="2222" spans="1:10" ht="13" x14ac:dyDescent="0.3">
      <c r="A2222" s="91"/>
      <c r="B2222" s="74"/>
      <c r="C2222" s="74"/>
      <c r="D2222" s="596"/>
      <c r="E2222" s="74"/>
      <c r="F2222" s="74"/>
      <c r="G2222" s="74"/>
      <c r="H2222" s="84"/>
      <c r="I2222" s="84"/>
      <c r="J2222" s="95"/>
    </row>
    <row r="2223" spans="1:10" ht="13" x14ac:dyDescent="0.3">
      <c r="A2223" s="91"/>
      <c r="B2223" s="104" t="s">
        <v>425</v>
      </c>
      <c r="D2223" s="213">
        <v>1</v>
      </c>
      <c r="E2223" s="74"/>
      <c r="F2223" s="74"/>
      <c r="G2223" s="74"/>
      <c r="H2223" s="587">
        <v>100367.72703547911</v>
      </c>
      <c r="I2223" s="587">
        <f>+D2221*D2223</f>
        <v>100367.72703547911</v>
      </c>
      <c r="J2223" s="95"/>
    </row>
    <row r="2224" spans="1:10" ht="13" x14ac:dyDescent="0.3">
      <c r="A2224" s="91"/>
      <c r="B2224" s="74"/>
      <c r="C2224" s="74"/>
      <c r="D2224" s="74"/>
      <c r="E2224" s="74"/>
      <c r="F2224" s="74"/>
      <c r="G2224" s="74"/>
      <c r="H2224" s="597"/>
      <c r="I2224" s="597"/>
      <c r="J2224" s="95"/>
    </row>
    <row r="2225" spans="1:11" ht="13" x14ac:dyDescent="0.3">
      <c r="A2225" s="91"/>
      <c r="B2225" s="74"/>
      <c r="C2225" s="74"/>
      <c r="D2225" s="74"/>
      <c r="E2225" s="74"/>
      <c r="F2225" s="128"/>
      <c r="G2225" s="633" t="s">
        <v>435</v>
      </c>
      <c r="H2225" s="587">
        <v>100000</v>
      </c>
      <c r="I2225" s="587">
        <f>+ROUND(I2223,-4)</f>
        <v>100000</v>
      </c>
      <c r="J2225" s="95"/>
      <c r="K2225" s="589"/>
    </row>
    <row r="2226" spans="1:11" ht="13" x14ac:dyDescent="0.3">
      <c r="A2226" s="91"/>
      <c r="B2226" s="74"/>
      <c r="C2226" s="74"/>
      <c r="D2226" s="74"/>
      <c r="E2226" s="74"/>
      <c r="F2226" s="128"/>
      <c r="G2226" s="74"/>
      <c r="H2226" s="587"/>
      <c r="I2226" s="587"/>
      <c r="J2226" s="95"/>
    </row>
    <row r="2227" spans="1:11" ht="13" x14ac:dyDescent="0.3">
      <c r="A2227" s="91"/>
      <c r="B2227" s="74"/>
      <c r="C2227" s="74"/>
      <c r="D2227" s="74"/>
      <c r="E2227" s="74"/>
      <c r="F2227" s="74"/>
      <c r="G2227" s="74"/>
      <c r="H2227" s="598">
        <v>0</v>
      </c>
      <c r="I2227" s="598">
        <f>+(I2225-H2225)/H2225</f>
        <v>0</v>
      </c>
      <c r="J2227" s="95"/>
    </row>
    <row r="2228" spans="1:11" ht="33.75" customHeight="1" x14ac:dyDescent="0.3">
      <c r="A2228" s="91"/>
      <c r="B2228" s="943" t="s">
        <v>504</v>
      </c>
      <c r="C2228" s="944"/>
      <c r="D2228" s="944"/>
      <c r="E2228" s="944"/>
      <c r="F2228" s="944"/>
      <c r="G2228" s="945"/>
      <c r="H2228" s="588"/>
      <c r="I2228" s="588"/>
      <c r="J2228" s="95"/>
    </row>
    <row r="2229" spans="1:11" ht="17.399999999999999" customHeight="1" x14ac:dyDescent="0.3">
      <c r="A2229" s="91"/>
      <c r="B2229" s="74"/>
      <c r="C2229" s="74"/>
      <c r="D2229" s="74"/>
      <c r="E2229" s="74"/>
      <c r="F2229" s="74"/>
      <c r="G2229" s="74"/>
      <c r="H2229" s="588"/>
      <c r="I2229" s="588"/>
      <c r="J2229" s="95"/>
    </row>
    <row r="2230" spans="1:11" ht="13" x14ac:dyDescent="0.3">
      <c r="A2230" s="91"/>
      <c r="B2230" s="104" t="s">
        <v>424</v>
      </c>
      <c r="C2230" s="74"/>
      <c r="D2230" s="74"/>
      <c r="E2230" s="74"/>
      <c r="F2230" s="74"/>
      <c r="G2230" s="74"/>
      <c r="H2230" s="84"/>
      <c r="I2230" s="84"/>
      <c r="J2230" s="95"/>
    </row>
    <row r="2231" spans="1:11" ht="13" x14ac:dyDescent="0.3">
      <c r="A2231" s="91"/>
      <c r="B2231" s="104"/>
      <c r="C2231" s="74"/>
      <c r="D2231" s="74"/>
      <c r="E2231" s="74"/>
      <c r="F2231" s="74"/>
      <c r="G2231" s="74"/>
      <c r="H2231" s="84"/>
      <c r="I2231" s="84"/>
      <c r="J2231" s="95"/>
    </row>
    <row r="2232" spans="1:11" ht="13" x14ac:dyDescent="0.3">
      <c r="A2232" s="91"/>
      <c r="C2232" s="74" t="s">
        <v>414</v>
      </c>
      <c r="D2232">
        <v>500</v>
      </c>
      <c r="E2232" s="74" t="s">
        <v>415</v>
      </c>
      <c r="F2232" s="74"/>
      <c r="G2232" s="74"/>
      <c r="H2232" s="84"/>
      <c r="I2232" s="84"/>
      <c r="J2232" s="95"/>
    </row>
    <row r="2233" spans="1:11" ht="13" x14ac:dyDescent="0.3">
      <c r="A2233" s="91"/>
      <c r="B2233" s="74"/>
      <c r="C2233" s="74" t="s">
        <v>426</v>
      </c>
      <c r="D2233" s="1">
        <f>D2232*0.7</f>
        <v>350</v>
      </c>
      <c r="E2233" t="s">
        <v>415</v>
      </c>
      <c r="F2233" s="600" t="s">
        <v>429</v>
      </c>
      <c r="G2233"/>
      <c r="H2233" s="84"/>
      <c r="I2233" s="84"/>
      <c r="J2233" s="95"/>
    </row>
    <row r="2234" spans="1:11" ht="13" x14ac:dyDescent="0.3">
      <c r="A2234" s="91"/>
      <c r="B2234" s="74"/>
      <c r="C2234" s="74" t="s">
        <v>115</v>
      </c>
      <c r="D2234" s="590">
        <f>+F2234</f>
        <v>1671.7533001995</v>
      </c>
      <c r="E2234" s="591" t="s">
        <v>417</v>
      </c>
      <c r="F2234" s="592">
        <f>+'Unit tariffs'!$F$167</f>
        <v>1671.7533001995</v>
      </c>
      <c r="G2234" s="593"/>
      <c r="H2234" s="84"/>
      <c r="I2234" s="84"/>
      <c r="J2234" s="95"/>
    </row>
    <row r="2235" spans="1:11" ht="13" x14ac:dyDescent="0.3">
      <c r="A2235" s="91"/>
      <c r="B2235" s="74"/>
      <c r="C2235" s="74" t="s">
        <v>418</v>
      </c>
      <c r="D2235" s="594">
        <f>(F2235*D2233)</f>
        <v>67798.225619004996</v>
      </c>
      <c r="E2235" s="591" t="s">
        <v>417</v>
      </c>
      <c r="F2235" s="638">
        <f>+'Unit tariffs'!$F$168</f>
        <v>193.70921605429999</v>
      </c>
      <c r="G2235" t="s">
        <v>419</v>
      </c>
      <c r="H2235" s="84"/>
      <c r="I2235" s="84"/>
      <c r="J2235" s="95"/>
    </row>
    <row r="2236" spans="1:11" ht="13" x14ac:dyDescent="0.3">
      <c r="A2236" s="91"/>
      <c r="B2236" s="74"/>
      <c r="C2236" s="74" t="s">
        <v>420</v>
      </c>
      <c r="D2236" s="190">
        <f>(D2233*26*24*0.33*F2236)</f>
        <v>96695.063939794331</v>
      </c>
      <c r="E2236" s="591" t="s">
        <v>417</v>
      </c>
      <c r="F2236" s="639">
        <f>+'Unit tariffs'!$F$169</f>
        <v>1.3416453538100002</v>
      </c>
      <c r="G2236" t="s">
        <v>421</v>
      </c>
      <c r="H2236" s="84"/>
      <c r="I2236" s="84"/>
      <c r="J2236" s="95"/>
    </row>
    <row r="2237" spans="1:11" ht="13" x14ac:dyDescent="0.3">
      <c r="A2237" s="91"/>
      <c r="B2237" s="74"/>
      <c r="C2237" s="74" t="s">
        <v>422</v>
      </c>
      <c r="D2237" s="595">
        <f>D2236+D2235+D2234</f>
        <v>166165.04285899882</v>
      </c>
      <c r="E2237"/>
      <c r="F2237"/>
      <c r="G2237"/>
      <c r="H2237" s="84"/>
      <c r="I2237" s="84"/>
      <c r="J2237" s="95"/>
    </row>
    <row r="2238" spans="1:11" ht="13" x14ac:dyDescent="0.3">
      <c r="A2238" s="91"/>
      <c r="B2238" s="74"/>
      <c r="C2238" s="74"/>
      <c r="D2238" s="596"/>
      <c r="E2238" s="74"/>
      <c r="F2238" s="74"/>
      <c r="G2238" s="74"/>
      <c r="H2238" s="84"/>
      <c r="I2238" s="84"/>
      <c r="J2238" s="95"/>
    </row>
    <row r="2239" spans="1:11" ht="13" x14ac:dyDescent="0.3">
      <c r="A2239" s="91"/>
      <c r="B2239" s="104" t="s">
        <v>425</v>
      </c>
      <c r="D2239" s="213">
        <v>1</v>
      </c>
      <c r="E2239" s="74"/>
      <c r="F2239" s="74"/>
      <c r="G2239" s="74"/>
      <c r="H2239" s="587">
        <v>166165.04285899882</v>
      </c>
      <c r="I2239" s="587">
        <f>+D2237*D2239</f>
        <v>166165.04285899882</v>
      </c>
      <c r="J2239" s="95"/>
    </row>
    <row r="2240" spans="1:11" ht="13" x14ac:dyDescent="0.3">
      <c r="A2240" s="91"/>
      <c r="B2240" s="74"/>
      <c r="C2240" s="74"/>
      <c r="D2240" s="74"/>
      <c r="E2240" s="74"/>
      <c r="F2240" s="74"/>
      <c r="G2240" s="74"/>
      <c r="H2240" s="597"/>
      <c r="I2240" s="597"/>
      <c r="J2240" s="95"/>
    </row>
    <row r="2241" spans="1:11" ht="13" x14ac:dyDescent="0.3">
      <c r="A2241" s="91"/>
      <c r="B2241" s="74"/>
      <c r="C2241" s="74"/>
      <c r="D2241" s="74"/>
      <c r="E2241" s="74"/>
      <c r="F2241" s="128"/>
      <c r="G2241" s="633" t="s">
        <v>435</v>
      </c>
      <c r="H2241" s="587">
        <v>170000</v>
      </c>
      <c r="I2241" s="587">
        <f>+ROUND(I2239,-4)</f>
        <v>170000</v>
      </c>
      <c r="J2241" s="95"/>
      <c r="K2241" s="589"/>
    </row>
    <row r="2242" spans="1:11" ht="13" x14ac:dyDescent="0.3">
      <c r="A2242" s="74"/>
      <c r="B2242" s="74"/>
      <c r="C2242" s="74"/>
      <c r="D2242" s="74"/>
      <c r="E2242" s="74"/>
      <c r="F2242" s="74"/>
      <c r="G2242" s="74"/>
      <c r="H2242" s="587"/>
      <c r="I2242" s="587"/>
      <c r="J2242" s="95"/>
    </row>
    <row r="2243" spans="1:11" ht="13" x14ac:dyDescent="0.3">
      <c r="A2243" s="74"/>
      <c r="B2243" s="74"/>
      <c r="C2243" s="74"/>
      <c r="D2243" s="74"/>
      <c r="E2243" s="74"/>
      <c r="F2243" s="74"/>
      <c r="G2243" s="74"/>
      <c r="H2243" s="598">
        <v>0</v>
      </c>
      <c r="I2243" s="598">
        <f>+(I2241-H2241)/H2241</f>
        <v>0</v>
      </c>
    </row>
    <row r="2244" spans="1:11" ht="13" x14ac:dyDescent="0.3">
      <c r="A2244" s="91"/>
      <c r="B2244" s="74"/>
      <c r="C2244" s="74"/>
      <c r="D2244" s="74"/>
      <c r="E2244" s="74"/>
      <c r="F2244" s="74"/>
      <c r="G2244" s="74"/>
      <c r="H2244" s="74"/>
      <c r="I2244" s="74"/>
    </row>
    <row r="2245" spans="1:11" ht="13.5" thickBot="1" x14ac:dyDescent="0.35">
      <c r="A2245" s="91"/>
      <c r="B2245" s="74"/>
      <c r="C2245" s="74"/>
      <c r="D2245" s="74"/>
      <c r="E2245" s="74"/>
      <c r="F2245" s="74"/>
      <c r="G2245" s="74"/>
      <c r="H2245" s="74"/>
      <c r="I2245" s="74"/>
    </row>
    <row r="2246" spans="1:11" ht="13.5" thickTop="1" x14ac:dyDescent="0.3">
      <c r="A2246" s="445"/>
      <c r="B2246" s="120" t="s">
        <v>1</v>
      </c>
      <c r="C2246" s="120"/>
      <c r="D2246" s="120"/>
      <c r="E2246" s="120"/>
      <c r="F2246" s="120"/>
      <c r="G2246" s="120"/>
      <c r="H2246" s="120"/>
      <c r="I2246" s="120"/>
    </row>
    <row r="2247" spans="1:11" ht="13" x14ac:dyDescent="0.3">
      <c r="A2247" s="91"/>
      <c r="B2247" s="92" t="s">
        <v>505</v>
      </c>
      <c r="C2247" s="93"/>
      <c r="D2247" s="93"/>
      <c r="E2247" s="93"/>
      <c r="F2247" s="93"/>
      <c r="G2247" s="93"/>
      <c r="H2247" s="94"/>
      <c r="I2247" s="94"/>
    </row>
    <row r="2248" spans="1:11" ht="13" x14ac:dyDescent="0.3">
      <c r="A2248" s="91"/>
      <c r="B2248" s="104"/>
      <c r="C2248" s="74"/>
      <c r="D2248" s="74"/>
      <c r="E2248" s="74"/>
      <c r="F2248" s="74"/>
      <c r="G2248" s="74"/>
      <c r="H2248" s="74"/>
      <c r="I2248" s="74"/>
    </row>
    <row r="2249" spans="1:11" ht="13" x14ac:dyDescent="0.3">
      <c r="A2249" s="91"/>
      <c r="B2249" s="104"/>
      <c r="C2249" s="74"/>
      <c r="D2249" s="74"/>
      <c r="E2249" s="74"/>
      <c r="F2249" s="74"/>
      <c r="G2249" s="74"/>
      <c r="H2249" s="74"/>
      <c r="I2249" s="74"/>
    </row>
    <row r="2250" spans="1:11" ht="13" x14ac:dyDescent="0.3">
      <c r="A2250" s="91"/>
      <c r="B2250" s="74"/>
      <c r="C2250" s="74"/>
      <c r="D2250" s="74"/>
      <c r="E2250" s="74"/>
      <c r="F2250" s="74"/>
      <c r="G2250" s="74"/>
      <c r="H2250" s="103" t="s">
        <v>451</v>
      </c>
      <c r="I2250" s="103" t="str">
        <f>+'Unit tariffs'!$F$11</f>
        <v>2026/2027</v>
      </c>
    </row>
    <row r="2251" spans="1:11" ht="13" x14ac:dyDescent="0.3">
      <c r="A2251" s="91"/>
      <c r="B2251" s="104" t="s">
        <v>41</v>
      </c>
      <c r="C2251" s="74"/>
      <c r="D2251" s="74"/>
      <c r="E2251" s="74"/>
      <c r="F2251" s="74"/>
      <c r="G2251" s="74"/>
      <c r="H2251" s="74"/>
      <c r="I2251" s="74"/>
    </row>
    <row r="2252" spans="1:11" ht="13" x14ac:dyDescent="0.3">
      <c r="A2252" s="91"/>
      <c r="B2252" s="74"/>
      <c r="C2252" s="74"/>
      <c r="D2252" s="74"/>
      <c r="E2252" s="74"/>
      <c r="F2252" s="74"/>
      <c r="G2252" s="74"/>
      <c r="H2252" s="74"/>
      <c r="I2252" s="74"/>
    </row>
    <row r="2253" spans="1:11" ht="13" x14ac:dyDescent="0.3">
      <c r="A2253" s="91"/>
      <c r="B2253" s="74"/>
      <c r="C2253" s="74"/>
      <c r="D2253" s="74"/>
      <c r="E2253" s="74"/>
      <c r="F2253" s="74"/>
      <c r="G2253" s="74"/>
      <c r="H2253" s="76"/>
      <c r="I2253" s="76"/>
    </row>
    <row r="2254" spans="1:11" ht="13" x14ac:dyDescent="0.3">
      <c r="A2254" s="91"/>
      <c r="B2254" s="74">
        <v>1</v>
      </c>
      <c r="C2254" s="20" t="s">
        <v>443</v>
      </c>
      <c r="D2254" s="74"/>
      <c r="E2254" s="74"/>
      <c r="F2254" s="74"/>
      <c r="G2254" s="74"/>
      <c r="H2254" s="76">
        <v>1035.8948594800002</v>
      </c>
      <c r="I2254" s="76">
        <f>VLOOKUP($C2254,'Unit tariffs'!$B$21:$F$123,5,FALSE)*$B2254</f>
        <v>1038.96209417</v>
      </c>
    </row>
    <row r="2255" spans="1:11" ht="13" x14ac:dyDescent="0.3">
      <c r="A2255" s="91"/>
      <c r="B2255" s="74">
        <v>0</v>
      </c>
      <c r="C2255" s="74" t="str">
        <f>'Unit tariffs'!B21</f>
        <v>Installation material</v>
      </c>
      <c r="D2255" s="74"/>
      <c r="E2255" s="74"/>
      <c r="F2255" s="74"/>
      <c r="G2255" s="74"/>
      <c r="H2255" s="81">
        <v>0</v>
      </c>
      <c r="I2255" s="81">
        <f>VLOOKUP($C2255,'Unit tariffs'!$B$21:$F$123,5,FALSE)*$B2255</f>
        <v>0</v>
      </c>
    </row>
    <row r="2256" spans="1:11" ht="13" x14ac:dyDescent="0.3">
      <c r="A2256" s="91"/>
      <c r="B2256" s="74"/>
      <c r="C2256" s="74"/>
      <c r="D2256" s="74"/>
      <c r="E2256" s="74"/>
      <c r="F2256" s="74"/>
      <c r="G2256" s="76"/>
      <c r="H2256" s="76">
        <v>1035.8948594800002</v>
      </c>
      <c r="I2256" s="76">
        <f>SUM(I2254:I2255)</f>
        <v>1038.96209417</v>
      </c>
    </row>
    <row r="2257" spans="1:9" ht="13" x14ac:dyDescent="0.3">
      <c r="A2257" s="91"/>
      <c r="B2257" s="104" t="s">
        <v>42</v>
      </c>
      <c r="C2257" s="74"/>
      <c r="D2257" s="74"/>
      <c r="E2257" s="74"/>
      <c r="F2257" s="74"/>
      <c r="G2257" s="74"/>
      <c r="H2257" s="74"/>
      <c r="I2257" s="74"/>
    </row>
    <row r="2258" spans="1:9" ht="13" x14ac:dyDescent="0.3">
      <c r="A2258" s="91"/>
      <c r="B2258" s="74"/>
      <c r="C2258" s="74"/>
      <c r="D2258" s="74"/>
      <c r="E2258" s="74"/>
      <c r="F2258" s="74"/>
      <c r="G2258" s="74"/>
      <c r="H2258" s="74"/>
      <c r="I2258" s="74"/>
    </row>
    <row r="2259" spans="1:9" ht="13" x14ac:dyDescent="0.3">
      <c r="A2259" s="91"/>
      <c r="B2259" s="74">
        <v>0.5</v>
      </c>
      <c r="C2259" s="74" t="str">
        <f>'Unit tariffs'!B$87</f>
        <v xml:space="preserve">hour-artisan </v>
      </c>
      <c r="D2259" s="74"/>
      <c r="E2259" s="74"/>
      <c r="F2259" s="74"/>
      <c r="G2259" s="74"/>
      <c r="H2259" s="76">
        <v>161.42611586538462</v>
      </c>
      <c r="I2259" s="76">
        <f>VLOOKUP($C2259,'Unit tariffs'!$B$21:$F$123,5,FALSE)*$B2259</f>
        <v>175.5963830769231</v>
      </c>
    </row>
    <row r="2260" spans="1:9" ht="13" x14ac:dyDescent="0.3">
      <c r="A2260" s="91"/>
      <c r="B2260" s="74">
        <v>0.5</v>
      </c>
      <c r="C2260" s="74" t="str">
        <f>'Unit tariffs'!B$85</f>
        <v>hour-artisan assistant</v>
      </c>
      <c r="D2260" s="74"/>
      <c r="E2260" s="74"/>
      <c r="F2260" s="74"/>
      <c r="G2260" s="74"/>
      <c r="H2260" s="81">
        <v>64.267903846153857</v>
      </c>
      <c r="I2260" s="81">
        <f>VLOOKUP($C2260,'Unit tariffs'!$B$21:$F$123,5,FALSE)*$B2260</f>
        <v>69.912129230769239</v>
      </c>
    </row>
    <row r="2261" spans="1:9" ht="13" x14ac:dyDescent="0.3">
      <c r="A2261" s="91"/>
      <c r="B2261" s="74"/>
      <c r="C2261" s="74"/>
      <c r="D2261" s="74"/>
      <c r="E2261" s="74"/>
      <c r="F2261" s="74"/>
      <c r="G2261" s="74"/>
      <c r="H2261" s="76">
        <v>225.69401971153849</v>
      </c>
      <c r="I2261" s="76">
        <f>SUM(I2259:I2260)</f>
        <v>245.50851230769234</v>
      </c>
    </row>
    <row r="2262" spans="1:9" ht="13" x14ac:dyDescent="0.3">
      <c r="A2262" s="91"/>
      <c r="B2262" s="104" t="s">
        <v>43</v>
      </c>
      <c r="C2262" s="74"/>
      <c r="D2262" s="74"/>
      <c r="E2262" s="74"/>
      <c r="F2262" s="74"/>
      <c r="G2262" s="74"/>
      <c r="H2262" s="74"/>
      <c r="I2262" s="74"/>
    </row>
    <row r="2263" spans="1:9" ht="13" x14ac:dyDescent="0.3">
      <c r="A2263" s="91"/>
      <c r="B2263" s="74"/>
      <c r="C2263" s="74"/>
      <c r="D2263" s="74"/>
      <c r="E2263" s="74"/>
      <c r="F2263" s="74"/>
      <c r="G2263" s="74"/>
      <c r="H2263" s="74"/>
      <c r="I2263" s="74"/>
    </row>
    <row r="2264" spans="1:9" ht="13" x14ac:dyDescent="0.3">
      <c r="A2264" s="91"/>
      <c r="B2264" s="74">
        <v>12</v>
      </c>
      <c r="C2264" s="74" t="str">
        <f>'Unit tariffs'!B$115</f>
        <v>km-panel van</v>
      </c>
      <c r="D2264" s="74"/>
      <c r="E2264" s="74"/>
      <c r="F2264" s="74"/>
      <c r="G2264" s="74"/>
      <c r="H2264" s="76">
        <v>280.86606346374646</v>
      </c>
      <c r="I2264" s="76">
        <f>VLOOKUP($C2264,'Unit tariffs'!$B$21:$F$123,5,FALSE)*$B2264</f>
        <v>328.62884889550492</v>
      </c>
    </row>
    <row r="2265" spans="1:9" ht="13" x14ac:dyDescent="0.3">
      <c r="A2265" s="91"/>
      <c r="B2265" s="74">
        <f>+B2259</f>
        <v>0.5</v>
      </c>
      <c r="C2265" s="74" t="str">
        <f>'Unit tariffs'!B$116</f>
        <v>hour-panel van</v>
      </c>
      <c r="D2265" s="74"/>
      <c r="E2265" s="74"/>
      <c r="F2265" s="74"/>
      <c r="G2265" s="74"/>
      <c r="H2265" s="76">
        <v>102.28078559587203</v>
      </c>
      <c r="I2265" s="76">
        <f>VLOOKUP($C2265,'Unit tariffs'!$B$21:$F$123,5,FALSE)*$B2265</f>
        <v>119.67418355916104</v>
      </c>
    </row>
    <row r="2266" spans="1:9" ht="13" x14ac:dyDescent="0.3">
      <c r="A2266" s="91"/>
      <c r="B2266" s="74"/>
      <c r="C2266" s="74"/>
      <c r="D2266" s="74"/>
      <c r="E2266" s="74"/>
      <c r="F2266" s="74"/>
      <c r="G2266" s="74"/>
      <c r="H2266" s="137">
        <v>383.14684905961849</v>
      </c>
      <c r="I2266" s="137">
        <f>SUM(I2264:I2265)</f>
        <v>448.30303245466598</v>
      </c>
    </row>
    <row r="2267" spans="1:9" ht="13.5" thickBot="1" x14ac:dyDescent="0.35">
      <c r="A2267" s="91"/>
      <c r="B2267" s="104"/>
      <c r="C2267" s="74"/>
      <c r="D2267" s="106"/>
      <c r="E2267" s="74"/>
      <c r="F2267" s="74"/>
      <c r="G2267" s="74"/>
      <c r="H2267" s="108"/>
      <c r="I2267" s="108"/>
    </row>
    <row r="2268" spans="1:9" ht="13.5" thickTop="1" x14ac:dyDescent="0.3">
      <c r="A2268" s="91"/>
      <c r="B2268" s="74"/>
      <c r="C2268" s="74"/>
      <c r="D2268" s="74"/>
      <c r="E2268" s="74"/>
      <c r="F2268" s="74"/>
      <c r="G2268" s="76"/>
      <c r="H2268" s="76">
        <v>1644.7357282511571</v>
      </c>
      <c r="I2268" s="76">
        <f>I2266+I2261+I2256</f>
        <v>1732.7736389323584</v>
      </c>
    </row>
    <row r="2269" spans="1:9" ht="13.5" thickBot="1" x14ac:dyDescent="0.35">
      <c r="A2269" s="91"/>
      <c r="B2269" s="104" t="str">
        <f>'Unit tariffs'!$B$7</f>
        <v>Administration Levy (Indirect Cost)</v>
      </c>
      <c r="C2269" s="74"/>
      <c r="D2269" s="106">
        <f>'Unit tariffs'!$C$7</f>
        <v>0.1</v>
      </c>
      <c r="E2269" s="74" t="s">
        <v>311</v>
      </c>
      <c r="F2269" s="186">
        <f>+'Unit tariffs'!$F$7</f>
        <v>10000</v>
      </c>
      <c r="G2269" s="76"/>
      <c r="H2269" s="108">
        <v>164.47357282511572</v>
      </c>
      <c r="I2269" s="108">
        <f>IF(I2268*$D2269&gt;='Unit tariffs'!$E$7,'Unit tariffs'!$E$7,I2268*$D2269)</f>
        <v>173.27736389323584</v>
      </c>
    </row>
    <row r="2270" spans="1:9" ht="13.5" thickTop="1" x14ac:dyDescent="0.3">
      <c r="A2270" s="91"/>
      <c r="B2270" s="104" t="s">
        <v>44</v>
      </c>
      <c r="C2270" s="74"/>
      <c r="D2270" s="74"/>
      <c r="E2270" s="74"/>
      <c r="F2270" s="74"/>
      <c r="G2270" s="76"/>
      <c r="H2270" s="109">
        <v>1809.2093010762728</v>
      </c>
      <c r="I2270" s="109">
        <f>SUM(I2268:I2269)</f>
        <v>1906.0510028255942</v>
      </c>
    </row>
    <row r="2271" spans="1:9" ht="13" x14ac:dyDescent="0.3">
      <c r="A2271" s="91"/>
      <c r="B2271" s="74"/>
      <c r="C2271" s="74"/>
      <c r="D2271" s="74"/>
      <c r="E2271" s="74"/>
      <c r="F2271" s="74"/>
      <c r="G2271" s="74"/>
      <c r="H2271" s="74"/>
      <c r="I2271" s="74"/>
    </row>
    <row r="2272" spans="1:9" ht="13" x14ac:dyDescent="0.3">
      <c r="A2272" s="91"/>
      <c r="B2272" s="104" t="s">
        <v>45</v>
      </c>
      <c r="C2272" s="74"/>
      <c r="D2272" s="74"/>
      <c r="E2272" s="74"/>
      <c r="F2272" s="74"/>
      <c r="G2272" s="74"/>
      <c r="H2272" s="84">
        <v>1810</v>
      </c>
      <c r="I2272" s="84">
        <f>ROUND(I2270,-1)</f>
        <v>1910</v>
      </c>
    </row>
    <row r="2273" spans="1:9" ht="13" x14ac:dyDescent="0.3">
      <c r="A2273" s="91"/>
      <c r="B2273" s="74"/>
      <c r="C2273" s="74"/>
      <c r="D2273" s="74"/>
      <c r="E2273" s="74"/>
      <c r="F2273" s="74"/>
      <c r="G2273" s="74"/>
      <c r="H2273" s="76"/>
      <c r="I2273" s="76"/>
    </row>
    <row r="2274" spans="1:9" ht="13" x14ac:dyDescent="0.3">
      <c r="A2274" s="91"/>
      <c r="B2274" s="74"/>
      <c r="C2274" s="74"/>
      <c r="D2274" s="74"/>
      <c r="E2274" s="74"/>
      <c r="F2274" s="74"/>
      <c r="G2274" s="74"/>
      <c r="H2274" s="112">
        <v>0</v>
      </c>
      <c r="I2274" s="112">
        <f>(I2272-H2272)/H2272</f>
        <v>5.5248618784530384E-2</v>
      </c>
    </row>
    <row r="2275" spans="1:9" ht="13.5" thickBot="1" x14ac:dyDescent="0.35">
      <c r="A2275" s="448"/>
      <c r="B2275" s="123"/>
      <c r="C2275" s="123"/>
      <c r="D2275" s="123"/>
      <c r="E2275" s="123"/>
      <c r="F2275" s="123"/>
      <c r="G2275" s="123"/>
      <c r="H2275" s="123"/>
      <c r="I2275" s="123"/>
    </row>
    <row r="2276" spans="1:9" ht="13.5" thickTop="1" x14ac:dyDescent="0.3">
      <c r="A2276" s="91"/>
      <c r="H2276" s="74"/>
      <c r="I2276" s="74"/>
    </row>
    <row r="2277" spans="1:9" ht="13.5" thickBot="1" x14ac:dyDescent="0.35">
      <c r="A2277" s="460"/>
      <c r="B2277" s="118"/>
      <c r="C2277" s="118"/>
      <c r="D2277" s="118"/>
      <c r="E2277" s="118"/>
      <c r="F2277" s="118"/>
      <c r="G2277" s="118"/>
      <c r="H2277" s="461"/>
      <c r="I2277" s="461"/>
    </row>
    <row r="2278" spans="1:9" ht="140.25" customHeight="1" x14ac:dyDescent="0.25">
      <c r="B2278" s="951" t="s">
        <v>506</v>
      </c>
      <c r="C2278" s="952"/>
      <c r="D2278" s="248" t="s">
        <v>251</v>
      </c>
      <c r="E2278" s="537"/>
      <c r="F2278" s="622" t="s">
        <v>344</v>
      </c>
      <c r="G2278" s="663" t="s">
        <v>442</v>
      </c>
    </row>
    <row r="2279" spans="1:9" ht="87.5" x14ac:dyDescent="0.25">
      <c r="B2279" s="949" t="s">
        <v>507</v>
      </c>
      <c r="C2279" s="950"/>
      <c r="D2279" s="248" t="s">
        <v>251</v>
      </c>
      <c r="E2279" s="537"/>
      <c r="F2279" s="622" t="s">
        <v>344</v>
      </c>
      <c r="G2279" s="664" t="s">
        <v>344</v>
      </c>
    </row>
    <row r="2280" spans="1:9" ht="100" x14ac:dyDescent="0.25">
      <c r="B2280" s="949" t="s">
        <v>508</v>
      </c>
      <c r="C2280" s="950"/>
      <c r="D2280" s="250" t="s">
        <v>253</v>
      </c>
      <c r="E2280" s="538"/>
      <c r="F2280" s="622" t="s">
        <v>343</v>
      </c>
      <c r="G2280" s="664" t="s">
        <v>343</v>
      </c>
    </row>
    <row r="2281" spans="1:9" ht="100" x14ac:dyDescent="0.25">
      <c r="B2281" s="949" t="s">
        <v>509</v>
      </c>
      <c r="C2281" s="950"/>
      <c r="D2281" s="250" t="s">
        <v>254</v>
      </c>
      <c r="E2281" s="538"/>
      <c r="F2281" s="622" t="s">
        <v>255</v>
      </c>
      <c r="G2281" s="664" t="s">
        <v>255</v>
      </c>
    </row>
    <row r="2282" spans="1:9" ht="100" x14ac:dyDescent="0.25">
      <c r="B2282" s="949" t="s">
        <v>510</v>
      </c>
      <c r="C2282" s="950"/>
      <c r="D2282" s="250" t="s">
        <v>255</v>
      </c>
      <c r="E2282" s="538"/>
      <c r="F2282" s="622" t="s">
        <v>342</v>
      </c>
      <c r="G2282" s="663" t="s">
        <v>342</v>
      </c>
    </row>
  </sheetData>
  <mergeCells count="71">
    <mergeCell ref="B1660:G1660"/>
    <mergeCell ref="B1578:G1578"/>
    <mergeCell ref="B1595:G1595"/>
    <mergeCell ref="B1440:G1440"/>
    <mergeCell ref="B577:G577"/>
    <mergeCell ref="B579:G579"/>
    <mergeCell ref="B657:G657"/>
    <mergeCell ref="B909:G909"/>
    <mergeCell ref="B915:G915"/>
    <mergeCell ref="B688:G688"/>
    <mergeCell ref="B691:G691"/>
    <mergeCell ref="B735:G735"/>
    <mergeCell ref="B778:G778"/>
    <mergeCell ref="B825:G825"/>
    <mergeCell ref="B873:G873"/>
    <mergeCell ref="B875:G875"/>
    <mergeCell ref="B613:G613"/>
    <mergeCell ref="B355:G355"/>
    <mergeCell ref="B357:G357"/>
    <mergeCell ref="B398:G398"/>
    <mergeCell ref="B543:G543"/>
    <mergeCell ref="B506:G506"/>
    <mergeCell ref="B400:G400"/>
    <mergeCell ref="B434:G434"/>
    <mergeCell ref="B473:G473"/>
    <mergeCell ref="B42:E42"/>
    <mergeCell ref="B44:E44"/>
    <mergeCell ref="B119:G119"/>
    <mergeCell ref="B155:G155"/>
    <mergeCell ref="B157:G157"/>
    <mergeCell ref="C120:G120"/>
    <mergeCell ref="B191:G191"/>
    <mergeCell ref="B221:G221"/>
    <mergeCell ref="B252:G252"/>
    <mergeCell ref="B254:G254"/>
    <mergeCell ref="B318:G318"/>
    <mergeCell ref="B291:G291"/>
    <mergeCell ref="B2282:C2282"/>
    <mergeCell ref="B2278:C2278"/>
    <mergeCell ref="B2279:C2279"/>
    <mergeCell ref="B2280:C2280"/>
    <mergeCell ref="B2281:C2281"/>
    <mergeCell ref="B2069:G2069"/>
    <mergeCell ref="B2212:G2212"/>
    <mergeCell ref="B2228:G2228"/>
    <mergeCell ref="B2141:G2141"/>
    <mergeCell ref="B1865:G1865"/>
    <mergeCell ref="B1800:G1800"/>
    <mergeCell ref="B1817:G1817"/>
    <mergeCell ref="B1049:G1049"/>
    <mergeCell ref="B1404:G1404"/>
    <mergeCell ref="B1614:G1614"/>
    <mergeCell ref="B1642:G1642"/>
    <mergeCell ref="B1223:G1223"/>
    <mergeCell ref="B1258:G1258"/>
    <mergeCell ref="B1293:G1293"/>
    <mergeCell ref="B1735:G1735"/>
    <mergeCell ref="B1753:G1753"/>
    <mergeCell ref="B1186:G1186"/>
    <mergeCell ref="B1452:G1452"/>
    <mergeCell ref="B1481:G1481"/>
    <mergeCell ref="B1483:G1483"/>
    <mergeCell ref="B1579:G1579"/>
    <mergeCell ref="B920:C920"/>
    <mergeCell ref="B1330:G1330"/>
    <mergeCell ref="B1091:G1091"/>
    <mergeCell ref="B975:G975"/>
    <mergeCell ref="B977:G977"/>
    <mergeCell ref="B1011:G1011"/>
    <mergeCell ref="B934:G934"/>
    <mergeCell ref="B936:G936"/>
  </mergeCells>
  <pageMargins left="0.7" right="0.7" top="0.75" bottom="0.75" header="0.3" footer="0.3"/>
  <pageSetup paperSize="9" scale="56" fitToHeight="0" orientation="portrait" r:id="rId1"/>
  <headerFooter>
    <oddHeader>&amp;CCENTLEC Service Tariff - Calculation Sheets 2017/2018</oddHeader>
  </headerFooter>
  <rowBreaks count="22" manualBreakCount="22">
    <brk id="117" max="9" man="1"/>
    <brk id="189" max="9" man="1"/>
    <brk id="219" max="9" man="1"/>
    <brk id="350" max="9" man="1"/>
    <brk id="396" max="9" man="1"/>
    <brk id="469" max="9" man="1"/>
    <brk id="733" max="9" man="1"/>
    <brk id="823" max="9" man="1"/>
    <brk id="905" max="9" man="1"/>
    <brk id="932" max="9" man="1"/>
    <brk id="1010" max="9" man="1"/>
    <brk id="1087" max="9" man="1"/>
    <brk id="1147" max="9" man="1"/>
    <brk id="1220" max="9" man="1"/>
    <brk id="1291" max="9" man="1"/>
    <brk id="1365" max="9" man="1"/>
    <brk id="1450" max="9" man="1"/>
    <brk id="1531" max="9" man="1"/>
    <brk id="1678" max="9" man="1"/>
    <brk id="1834" max="9" man="1"/>
    <brk id="1891" max="9" man="1"/>
    <brk id="1985" max="9" man="1"/>
  </rowBreaks>
  <colBreaks count="1" manualBreakCount="1">
    <brk id="11" max="196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1419F-C6C7-4691-B889-CC61B0357F67}">
  <sheetPr>
    <pageSetUpPr fitToPage="1"/>
  </sheetPr>
  <dimension ref="A1:L1517"/>
  <sheetViews>
    <sheetView view="pageBreakPreview" topLeftCell="A329" zoomScale="70" zoomScaleNormal="70" zoomScaleSheetLayoutView="70" workbookViewId="0">
      <selection activeCell="I557" sqref="I557"/>
    </sheetView>
  </sheetViews>
  <sheetFormatPr defaultColWidth="9" defaultRowHeight="12.5" x14ac:dyDescent="0.25"/>
  <cols>
    <col min="1" max="1" width="4.81640625" style="86" customWidth="1"/>
    <col min="2" max="2" width="6.36328125" style="86" customWidth="1"/>
    <col min="3" max="3" width="40.08984375" style="86" bestFit="1" customWidth="1"/>
    <col min="4" max="4" width="14.54296875" style="86" customWidth="1"/>
    <col min="5" max="5" width="9" style="86"/>
    <col min="6" max="6" width="12.90625" style="86" customWidth="1"/>
    <col min="7" max="7" width="20.54296875" style="86" customWidth="1"/>
    <col min="8" max="9" width="20.6328125" style="86" customWidth="1"/>
    <col min="10" max="10" width="10.6328125" style="86" hidden="1" customWidth="1"/>
    <col min="11" max="11" width="11.54296875" style="86" hidden="1" customWidth="1"/>
    <col min="12" max="12" width="9.54296875" style="86" hidden="1" customWidth="1"/>
    <col min="13" max="17" width="9" style="86"/>
    <col min="18" max="18" width="9.36328125" style="86" bestFit="1" customWidth="1"/>
    <col min="19" max="19" width="11.81640625" style="86" bestFit="1" customWidth="1"/>
    <col min="20" max="16384" width="9" style="86"/>
  </cols>
  <sheetData>
    <row r="1" spans="1:11" ht="16" thickBot="1" x14ac:dyDescent="0.4">
      <c r="A1" s="86" t="s">
        <v>1</v>
      </c>
      <c r="B1" s="87" t="s">
        <v>1</v>
      </c>
    </row>
    <row r="2" spans="1:11" ht="13" x14ac:dyDescent="0.3">
      <c r="A2" s="438"/>
      <c r="B2" s="439" t="s">
        <v>643</v>
      </c>
      <c r="C2" s="440"/>
      <c r="D2" s="441"/>
      <c r="E2" s="441"/>
      <c r="F2" s="441"/>
      <c r="G2" s="441"/>
      <c r="H2" s="441"/>
      <c r="I2" s="441"/>
      <c r="J2" s="442"/>
    </row>
    <row r="3" spans="1:11" ht="13" thickBot="1" x14ac:dyDescent="0.3">
      <c r="A3" s="443"/>
      <c r="J3" s="115"/>
    </row>
    <row r="4" spans="1:11" ht="13" x14ac:dyDescent="0.3">
      <c r="A4" s="88"/>
      <c r="B4" s="89" t="s">
        <v>1</v>
      </c>
      <c r="C4" s="89"/>
      <c r="D4" s="89"/>
      <c r="E4" s="89"/>
      <c r="F4" s="89"/>
      <c r="G4" s="89"/>
      <c r="H4" s="89"/>
      <c r="I4" s="89"/>
      <c r="J4" s="90"/>
    </row>
    <row r="5" spans="1:11" ht="24.25" customHeight="1" x14ac:dyDescent="0.3">
      <c r="A5" s="91"/>
      <c r="B5" s="92" t="s">
        <v>658</v>
      </c>
      <c r="C5" s="824"/>
      <c r="D5" s="824"/>
      <c r="E5" s="824"/>
      <c r="F5" s="824"/>
      <c r="G5" s="824"/>
      <c r="H5" s="824"/>
      <c r="I5" s="825"/>
      <c r="J5" s="95"/>
    </row>
    <row r="6" spans="1:11" ht="13" x14ac:dyDescent="0.3">
      <c r="A6" s="91"/>
      <c r="B6" s="74"/>
      <c r="C6" s="74"/>
      <c r="D6" s="74"/>
      <c r="E6" s="74"/>
      <c r="F6" s="74"/>
      <c r="G6" s="74"/>
      <c r="H6" s="74"/>
      <c r="I6" s="74"/>
      <c r="J6" s="95"/>
    </row>
    <row r="7" spans="1:11" ht="13" x14ac:dyDescent="0.3">
      <c r="A7" s="91"/>
      <c r="B7" s="96" t="s">
        <v>98</v>
      </c>
      <c r="C7" s="97"/>
      <c r="D7" s="97"/>
      <c r="E7" s="97"/>
      <c r="F7" s="97"/>
      <c r="G7" s="97"/>
      <c r="H7" s="971" t="s">
        <v>239</v>
      </c>
      <c r="I7" s="971" t="s">
        <v>239</v>
      </c>
      <c r="J7" s="95"/>
    </row>
    <row r="8" spans="1:11" ht="13" x14ac:dyDescent="0.3">
      <c r="A8" s="91"/>
      <c r="B8" s="99"/>
      <c r="C8" s="100"/>
      <c r="D8" s="100"/>
      <c r="E8" s="100"/>
      <c r="F8" s="100"/>
      <c r="G8" s="100"/>
      <c r="H8" s="971"/>
      <c r="I8" s="971"/>
      <c r="J8" s="95"/>
    </row>
    <row r="9" spans="1:11" ht="13" x14ac:dyDescent="0.3">
      <c r="A9" s="91"/>
      <c r="B9" s="74"/>
      <c r="C9" s="74"/>
      <c r="D9" s="74"/>
      <c r="E9" s="74"/>
      <c r="F9" s="74"/>
      <c r="G9" s="74"/>
      <c r="J9" s="95"/>
    </row>
    <row r="10" spans="1:11" ht="13" x14ac:dyDescent="0.3">
      <c r="A10" s="91"/>
      <c r="B10" s="74"/>
      <c r="C10" s="74"/>
      <c r="D10" s="74"/>
      <c r="E10" s="74"/>
      <c r="F10" s="74"/>
      <c r="G10" s="74"/>
      <c r="H10" s="74"/>
      <c r="I10" s="74"/>
      <c r="J10" s="95"/>
    </row>
    <row r="11" spans="1:11" ht="13" x14ac:dyDescent="0.3">
      <c r="A11" s="91"/>
      <c r="B11" s="74"/>
      <c r="C11" s="74"/>
      <c r="D11" s="74"/>
      <c r="E11" s="74"/>
      <c r="F11" s="74"/>
      <c r="G11" s="74"/>
      <c r="H11" s="103" t="str">
        <f>+'Unit tariffs'!E11</f>
        <v>2025/2026</v>
      </c>
      <c r="I11" s="103" t="str">
        <f>+'Unit tariffs'!F11</f>
        <v>2026/2027</v>
      </c>
      <c r="J11" s="444" t="s">
        <v>313</v>
      </c>
    </row>
    <row r="12" spans="1:11" ht="13" x14ac:dyDescent="0.3">
      <c r="A12" s="91"/>
      <c r="B12" s="104" t="s">
        <v>41</v>
      </c>
      <c r="C12" s="74"/>
      <c r="D12" s="74"/>
      <c r="E12" s="74"/>
      <c r="F12" s="74"/>
      <c r="G12" s="74"/>
      <c r="H12" s="74"/>
      <c r="I12" s="74"/>
      <c r="J12" s="95"/>
    </row>
    <row r="13" spans="1:11" ht="13" x14ac:dyDescent="0.3">
      <c r="A13" s="91"/>
      <c r="B13" s="74"/>
      <c r="C13" s="74"/>
      <c r="D13" s="74"/>
      <c r="E13" s="74"/>
      <c r="F13" s="74"/>
      <c r="G13" s="74"/>
      <c r="H13" s="74"/>
      <c r="I13" s="74"/>
      <c r="J13" s="95"/>
    </row>
    <row r="14" spans="1:11" ht="13" x14ac:dyDescent="0.3">
      <c r="A14" s="91"/>
      <c r="B14" s="74">
        <v>37</v>
      </c>
      <c r="C14" s="74" t="str">
        <f>'Unit tariffs'!B68</f>
        <v>10 mm Copper Airdac cable</v>
      </c>
      <c r="D14" s="74"/>
      <c r="E14" s="74"/>
      <c r="F14" s="74"/>
      <c r="G14" s="74"/>
      <c r="H14" s="76">
        <v>369.08011783999996</v>
      </c>
      <c r="I14" s="76">
        <f>VLOOKUP($C14,'Unit tariffs'!$B$21:$F$123,5,FALSE)*$B14</f>
        <v>366.65195916999994</v>
      </c>
      <c r="J14" s="457" t="e">
        <f>IF(+I14*'Unit tariffs'!#REF!&gt;'Unit tariffs'!#REF!,'Unit tariffs'!#REF!,+I14*'Unit tariffs'!#REF!)</f>
        <v>#REF!</v>
      </c>
      <c r="K14" s="645">
        <f t="shared" ref="K14:K20" si="0">+(I14-H14)/H14</f>
        <v>-6.5789473684210974E-3</v>
      </c>
    </row>
    <row r="15" spans="1:11" ht="13" x14ac:dyDescent="0.3">
      <c r="A15" s="91"/>
      <c r="B15" s="74">
        <v>2</v>
      </c>
      <c r="C15" s="74" t="str">
        <f>'Unit tariffs'!B69</f>
        <v>Strain clamp - Airdac</v>
      </c>
      <c r="D15" s="74"/>
      <c r="E15" s="74"/>
      <c r="F15" s="74"/>
      <c r="G15" s="74"/>
      <c r="H15" s="76">
        <v>32.643839200000002</v>
      </c>
      <c r="I15" s="76">
        <f>VLOOKUP($C15,'Unit tariffs'!$B$21:$F$123,5,FALSE)*$B15</f>
        <v>32.429077100000001</v>
      </c>
      <c r="J15" s="457" t="e">
        <f>IF(+I15*'Unit tariffs'!#REF!&gt;'Unit tariffs'!#REF!,'Unit tariffs'!#REF!,+I15*'Unit tariffs'!#REF!)</f>
        <v>#REF!</v>
      </c>
      <c r="K15" s="645">
        <f t="shared" si="0"/>
        <v>-6.5789473684210982E-3</v>
      </c>
    </row>
    <row r="16" spans="1:11" ht="13" x14ac:dyDescent="0.3">
      <c r="A16" s="91"/>
      <c r="B16" s="74">
        <v>1</v>
      </c>
      <c r="C16" s="74" t="str">
        <f>'Unit tariffs'!B34</f>
        <v>METER:S/P WIRED PRE-PAID</v>
      </c>
      <c r="D16" s="74"/>
      <c r="E16" s="74"/>
      <c r="F16" s="74"/>
      <c r="G16" s="74"/>
      <c r="H16" s="76">
        <v>2156.5407359999999</v>
      </c>
      <c r="I16" s="76">
        <f>VLOOKUP($C16,'Unit tariffs'!$B$21:$F$123,5,FALSE)*$B16</f>
        <v>2142.3529679999997</v>
      </c>
      <c r="J16" s="457" t="e">
        <f>IF(+I16*'Unit tariffs'!#REF!&gt;'Unit tariffs'!#REF!,'Unit tariffs'!#REF!,+I16*'Unit tariffs'!#REF!)</f>
        <v>#REF!</v>
      </c>
      <c r="K16" s="645">
        <f t="shared" si="0"/>
        <v>-6.5789473684211607E-3</v>
      </c>
    </row>
    <row r="17" spans="1:11" ht="13" x14ac:dyDescent="0.3">
      <c r="A17" s="91"/>
      <c r="B17" s="74">
        <v>1</v>
      </c>
      <c r="C17" s="74" t="str">
        <f>+'Unit tariffs'!B40</f>
        <v>Baseplate - PP only</v>
      </c>
      <c r="D17" s="74"/>
      <c r="E17" s="74"/>
      <c r="F17" s="74"/>
      <c r="G17" s="74"/>
      <c r="H17" s="76">
        <v>1268.21884</v>
      </c>
      <c r="I17" s="76">
        <f>VLOOKUP($C17,'Unit tariffs'!$B$21:$F$123,5,FALSE)*$B17</f>
        <v>1259.8752949999998</v>
      </c>
      <c r="J17" s="457" t="e">
        <f>IF(+I17*'Unit tariffs'!#REF!&gt;'Unit tariffs'!#REF!,'Unit tariffs'!#REF!,+I17*'Unit tariffs'!#REF!)</f>
        <v>#REF!</v>
      </c>
      <c r="K17" s="645">
        <f t="shared" si="0"/>
        <v>-6.5789473684211919E-3</v>
      </c>
    </row>
    <row r="18" spans="1:11" ht="13" x14ac:dyDescent="0.3">
      <c r="A18" s="91"/>
      <c r="B18" s="74">
        <v>1</v>
      </c>
      <c r="C18" s="74" t="str">
        <f>'Unit tariffs'!B21</f>
        <v>Installation material</v>
      </c>
      <c r="D18" s="74"/>
      <c r="E18" s="74"/>
      <c r="F18" s="74"/>
      <c r="G18" s="74"/>
      <c r="H18" s="76">
        <v>284.35400000000004</v>
      </c>
      <c r="I18" s="76">
        <f>VLOOKUP($C18,'Unit tariffs'!$B$21:$F$123,5,FALSE)*$B18</f>
        <v>282.48325</v>
      </c>
      <c r="J18" s="457" t="e">
        <f>IF(+I18*'Unit tariffs'!#REF!&gt;'Unit tariffs'!#REF!,'Unit tariffs'!#REF!,+I18*'Unit tariffs'!#REF!)</f>
        <v>#REF!</v>
      </c>
      <c r="K18" s="645">
        <f t="shared" si="0"/>
        <v>-6.5789473684212049E-3</v>
      </c>
    </row>
    <row r="19" spans="1:11" ht="13" x14ac:dyDescent="0.3">
      <c r="A19" s="91"/>
      <c r="B19" s="74">
        <v>1</v>
      </c>
      <c r="C19" s="74" t="str">
        <f>'Unit tariffs'!B24</f>
        <v>L-Bracket</v>
      </c>
      <c r="D19" s="74"/>
      <c r="E19" s="74"/>
      <c r="F19" s="74"/>
      <c r="G19" s="74"/>
      <c r="H19" s="76">
        <v>621.02913599999999</v>
      </c>
      <c r="I19" s="76">
        <f>VLOOKUP($C19,'Unit tariffs'!$B$21:$F$123,5,FALSE)*$B19</f>
        <v>616.94341799999995</v>
      </c>
      <c r="J19" s="457" t="e">
        <f>IF(+I19*'Unit tariffs'!#REF!&gt;'Unit tariffs'!#REF!,'Unit tariffs'!#REF!,+I19*'Unit tariffs'!#REF!)</f>
        <v>#REF!</v>
      </c>
      <c r="K19" s="645">
        <f t="shared" si="0"/>
        <v>-6.5789473684211217E-3</v>
      </c>
    </row>
    <row r="20" spans="1:11" ht="13" x14ac:dyDescent="0.3">
      <c r="A20" s="91"/>
      <c r="B20" s="74">
        <v>1</v>
      </c>
      <c r="C20" s="74" t="str">
        <f>'Unit tariffs'!B22</f>
        <v>25 mm bend</v>
      </c>
      <c r="D20" s="74"/>
      <c r="E20" s="74"/>
      <c r="F20" s="74"/>
      <c r="G20" s="74"/>
      <c r="H20" s="81">
        <v>32.268491920000002</v>
      </c>
      <c r="I20" s="81">
        <f>VLOOKUP($C20,'Unit tariffs'!$B$21:$F$123,5,FALSE)*$B20</f>
        <v>32.056199209999996</v>
      </c>
      <c r="J20" s="457" t="e">
        <f>IF(+I20*'Unit tariffs'!#REF!&gt;'Unit tariffs'!#REF!,'Unit tariffs'!#REF!,+I20*'Unit tariffs'!#REF!)</f>
        <v>#REF!</v>
      </c>
      <c r="K20" s="645">
        <f t="shared" si="0"/>
        <v>-6.5789473684212674E-3</v>
      </c>
    </row>
    <row r="21" spans="1:11" ht="13" x14ac:dyDescent="0.3">
      <c r="A21" s="91"/>
      <c r="B21" s="74"/>
      <c r="C21" s="74"/>
      <c r="D21" s="74"/>
      <c r="E21" s="74"/>
      <c r="F21" s="74"/>
      <c r="G21" s="74"/>
      <c r="H21" s="76">
        <v>4764.1351609599997</v>
      </c>
      <c r="I21" s="76">
        <f>SUM(I14:I20)</f>
        <v>4732.7921664799997</v>
      </c>
      <c r="J21" s="105"/>
    </row>
    <row r="22" spans="1:11" ht="13" x14ac:dyDescent="0.3">
      <c r="A22" s="91"/>
      <c r="B22" s="74"/>
      <c r="C22" s="74"/>
      <c r="D22" s="74"/>
      <c r="E22" s="74"/>
      <c r="F22" s="74"/>
      <c r="G22" s="74"/>
      <c r="H22" s="76"/>
      <c r="I22" s="76"/>
      <c r="J22" s="105"/>
      <c r="K22" s="645"/>
    </row>
    <row r="23" spans="1:11" ht="13" x14ac:dyDescent="0.3">
      <c r="A23" s="91"/>
      <c r="B23" s="104" t="s">
        <v>42</v>
      </c>
      <c r="C23" s="74"/>
      <c r="D23" s="74"/>
      <c r="E23" s="74"/>
      <c r="F23" s="74"/>
      <c r="G23" s="74"/>
      <c r="H23" s="74"/>
      <c r="I23" s="74"/>
      <c r="J23" s="95"/>
    </row>
    <row r="24" spans="1:11" ht="13" x14ac:dyDescent="0.3">
      <c r="A24" s="91"/>
      <c r="B24" s="74"/>
      <c r="C24" s="74"/>
      <c r="D24" s="74"/>
      <c r="E24" s="74"/>
      <c r="F24" s="74"/>
      <c r="G24" s="74"/>
      <c r="H24" s="74"/>
      <c r="I24" s="74"/>
      <c r="J24" s="95"/>
    </row>
    <row r="25" spans="1:11" ht="13" x14ac:dyDescent="0.3">
      <c r="A25" s="91"/>
      <c r="B25" s="74">
        <v>0.8</v>
      </c>
      <c r="C25" s="74" t="str">
        <f>'Unit tariffs'!B$87</f>
        <v xml:space="preserve">hour-artisan </v>
      </c>
      <c r="D25" s="74"/>
      <c r="E25" s="74"/>
      <c r="F25" s="74"/>
      <c r="G25" s="74"/>
      <c r="H25" s="76">
        <v>280.95421292307697</v>
      </c>
      <c r="I25" s="76">
        <f>VLOOKUP($C25,'Unit tariffs'!$B$21:$F$123,5,FALSE)*$B25</f>
        <v>280.95421292307697</v>
      </c>
      <c r="J25" s="105"/>
    </row>
    <row r="26" spans="1:11" ht="13" x14ac:dyDescent="0.3">
      <c r="A26" s="91"/>
      <c r="B26" s="74">
        <v>1.6</v>
      </c>
      <c r="C26" s="74" t="str">
        <f>'Unit tariffs'!B$85</f>
        <v>hour-artisan assistant</v>
      </c>
      <c r="D26" s="74"/>
      <c r="E26" s="74"/>
      <c r="F26" s="74"/>
      <c r="G26" s="74"/>
      <c r="H26" s="81">
        <v>223.71881353846157</v>
      </c>
      <c r="I26" s="81">
        <f>VLOOKUP($C26,'Unit tariffs'!$B$21:$F$123,5,FALSE)*$B26</f>
        <v>223.71881353846157</v>
      </c>
      <c r="J26" s="105"/>
    </row>
    <row r="27" spans="1:11" ht="13" x14ac:dyDescent="0.3">
      <c r="A27" s="91"/>
      <c r="B27" s="74"/>
      <c r="C27" s="74"/>
      <c r="D27" s="74"/>
      <c r="E27" s="74"/>
      <c r="F27" s="74"/>
      <c r="G27" s="74"/>
      <c r="H27" s="76">
        <v>504.67302646153854</v>
      </c>
      <c r="I27" s="76">
        <f>SUM(I25:I26)</f>
        <v>504.67302646153854</v>
      </c>
      <c r="J27" s="105"/>
      <c r="K27" s="645">
        <f>+(I27-H27)/H27</f>
        <v>0</v>
      </c>
    </row>
    <row r="28" spans="1:11" ht="13" x14ac:dyDescent="0.3">
      <c r="A28" s="91"/>
      <c r="B28" s="104" t="s">
        <v>43</v>
      </c>
      <c r="C28" s="74"/>
      <c r="D28" s="74"/>
      <c r="E28" s="74"/>
      <c r="F28" s="74"/>
      <c r="G28" s="74"/>
      <c r="H28" s="74"/>
      <c r="I28" s="74"/>
      <c r="J28" s="95"/>
    </row>
    <row r="29" spans="1:11" ht="13" x14ac:dyDescent="0.3">
      <c r="A29" s="91"/>
      <c r="B29" s="74"/>
      <c r="C29" s="74"/>
      <c r="D29" s="74"/>
      <c r="E29" s="74"/>
      <c r="F29" s="74"/>
      <c r="G29" s="74"/>
      <c r="H29" s="74"/>
      <c r="I29" s="74"/>
      <c r="J29" s="95"/>
    </row>
    <row r="30" spans="1:11" ht="13" x14ac:dyDescent="0.3">
      <c r="A30" s="91"/>
      <c r="B30" s="74">
        <v>24</v>
      </c>
      <c r="C30" s="74" t="str">
        <f>'Unit tariffs'!B$111</f>
        <v>km-truck with platform</v>
      </c>
      <c r="D30" s="74"/>
      <c r="E30" s="74"/>
      <c r="F30" s="74"/>
      <c r="G30" s="74"/>
      <c r="H30" s="76">
        <v>1190.6328325523293</v>
      </c>
      <c r="I30" s="76">
        <f>VLOOKUP($C30,'Unit tariffs'!$B$21:$F$123,5,FALSE)*$B30</f>
        <v>1182.7997218118533</v>
      </c>
      <c r="J30" s="105"/>
    </row>
    <row r="31" spans="1:11" ht="13" x14ac:dyDescent="0.3">
      <c r="A31" s="91"/>
      <c r="B31" s="74">
        <v>1</v>
      </c>
      <c r="C31" s="74" t="str">
        <f>'Unit tariffs'!B$112</f>
        <v>hour-truck with platform</v>
      </c>
      <c r="D31" s="74"/>
      <c r="E31" s="74"/>
      <c r="F31" s="74"/>
      <c r="G31" s="74"/>
      <c r="H31" s="76">
        <v>241.43148553267841</v>
      </c>
      <c r="I31" s="76">
        <f>VLOOKUP($C31,'Unit tariffs'!$B$21:$F$123,5,FALSE)*$B31</f>
        <v>239.8431204962792</v>
      </c>
      <c r="J31" s="105"/>
    </row>
    <row r="32" spans="1:11" ht="13" x14ac:dyDescent="0.3">
      <c r="A32" s="91"/>
      <c r="B32" s="74"/>
      <c r="C32" s="74"/>
      <c r="D32" s="74"/>
      <c r="E32" s="74"/>
      <c r="F32" s="74"/>
      <c r="G32" s="74"/>
      <c r="H32" s="137">
        <v>1432.0643180850077</v>
      </c>
      <c r="I32" s="137">
        <f>SUM(I30:I31)</f>
        <v>1422.6428423081325</v>
      </c>
      <c r="J32" s="105"/>
    </row>
    <row r="33" spans="1:11" ht="13" x14ac:dyDescent="0.3">
      <c r="A33" s="91"/>
      <c r="J33" s="105"/>
    </row>
    <row r="34" spans="1:11" ht="13" x14ac:dyDescent="0.3">
      <c r="A34" s="91"/>
      <c r="J34" s="105"/>
    </row>
    <row r="35" spans="1:11" ht="13" x14ac:dyDescent="0.3">
      <c r="A35" s="91"/>
      <c r="B35" s="74"/>
      <c r="C35" s="74"/>
      <c r="D35" s="74"/>
      <c r="E35" s="74"/>
      <c r="F35" s="74"/>
      <c r="G35" s="74"/>
      <c r="H35" s="76">
        <v>6700.8725055065461</v>
      </c>
      <c r="I35" s="76">
        <f>I32+I27+I21</f>
        <v>6660.1080352496701</v>
      </c>
      <c r="J35" s="105"/>
      <c r="K35" s="645">
        <f>+(I37-H37)/H37</f>
        <v>-6.0834570756834417E-3</v>
      </c>
    </row>
    <row r="36" spans="1:11" ht="13.5" thickBot="1" x14ac:dyDescent="0.35">
      <c r="A36" s="91"/>
      <c r="B36" s="104" t="str">
        <f>'Unit tariffs'!$B$7</f>
        <v>Administration Levy (Indirect Cost)</v>
      </c>
      <c r="C36" s="74"/>
      <c r="D36" s="106">
        <f>'Unit tariffs'!$C$7</f>
        <v>0.1</v>
      </c>
      <c r="E36" s="74" t="s">
        <v>311</v>
      </c>
      <c r="F36" s="186">
        <f>+'Unit tariffs'!$F$7</f>
        <v>10000</v>
      </c>
      <c r="G36" s="74"/>
      <c r="H36" s="108">
        <v>670.08725055065463</v>
      </c>
      <c r="I36" s="108">
        <f>IF(I35*$D36&gt;='Unit tariffs'!$E$7,'Unit tariffs'!$E$7,I35*$D36)</f>
        <v>666.01080352496706</v>
      </c>
      <c r="J36" s="95"/>
    </row>
    <row r="37" spans="1:11" ht="13.5" thickTop="1" x14ac:dyDescent="0.3">
      <c r="A37" s="91"/>
      <c r="B37" s="104" t="s">
        <v>44</v>
      </c>
      <c r="C37" s="74"/>
      <c r="D37" s="74"/>
      <c r="E37" s="74"/>
      <c r="F37" s="74"/>
      <c r="G37" s="74"/>
      <c r="H37" s="109">
        <v>7370.959756057201</v>
      </c>
      <c r="I37" s="109">
        <f>SUM(I35:I36)</f>
        <v>7326.118838774637</v>
      </c>
      <c r="J37" s="110"/>
      <c r="K37" s="111"/>
    </row>
    <row r="38" spans="1:11" ht="13" x14ac:dyDescent="0.3">
      <c r="A38" s="91"/>
      <c r="B38" s="74"/>
      <c r="C38" s="74"/>
      <c r="D38" s="74"/>
      <c r="E38" s="74"/>
      <c r="F38" s="74"/>
      <c r="G38" s="74"/>
      <c r="H38" s="74"/>
      <c r="I38" s="74"/>
      <c r="J38" s="105"/>
    </row>
    <row r="39" spans="1:11" ht="13" x14ac:dyDescent="0.3">
      <c r="A39" s="91"/>
      <c r="B39" s="104" t="s">
        <v>45</v>
      </c>
      <c r="C39" s="74"/>
      <c r="D39" s="74"/>
      <c r="E39" s="74"/>
      <c r="F39" s="74"/>
      <c r="G39" s="74"/>
      <c r="H39" s="841">
        <v>7370</v>
      </c>
      <c r="I39" s="84">
        <f>ROUND(I37,-1)</f>
        <v>7330</v>
      </c>
      <c r="J39" s="113"/>
    </row>
    <row r="40" spans="1:11" ht="13" x14ac:dyDescent="0.3">
      <c r="A40" s="74"/>
      <c r="B40" s="74"/>
      <c r="C40" s="74"/>
      <c r="D40" s="74"/>
      <c r="E40" s="74"/>
      <c r="F40" s="74"/>
      <c r="G40" s="74"/>
      <c r="H40" s="76"/>
      <c r="I40" s="76"/>
      <c r="J40" s="113"/>
    </row>
    <row r="41" spans="1:11" ht="26.5" customHeight="1" x14ac:dyDescent="0.3">
      <c r="A41" s="74"/>
      <c r="B41" s="74"/>
      <c r="C41" s="74"/>
      <c r="D41" s="74"/>
      <c r="E41" s="74"/>
      <c r="F41" s="74"/>
      <c r="G41" s="74"/>
      <c r="H41" s="112">
        <v>0.32553956834532372</v>
      </c>
      <c r="I41" s="112">
        <f>+(I39-H39)/H39</f>
        <v>-5.4274084124830389E-3</v>
      </c>
      <c r="J41" s="115"/>
    </row>
    <row r="42" spans="1:11" ht="13" x14ac:dyDescent="0.3">
      <c r="A42" s="74"/>
      <c r="B42" s="972"/>
      <c r="C42" s="972"/>
      <c r="D42" s="972"/>
      <c r="E42" s="972"/>
      <c r="F42" s="74"/>
      <c r="G42" s="74"/>
      <c r="J42" s="115"/>
    </row>
    <row r="43" spans="1:11" ht="13.5" thickBot="1" x14ac:dyDescent="0.35">
      <c r="A43" s="91"/>
      <c r="B43" s="74"/>
      <c r="C43" s="74"/>
      <c r="D43" s="74"/>
      <c r="E43" s="74"/>
      <c r="F43" s="74"/>
      <c r="G43" s="74"/>
      <c r="H43" s="74"/>
      <c r="I43" s="74"/>
      <c r="J43" s="95"/>
    </row>
    <row r="44" spans="1:11" ht="13.5" thickTop="1" x14ac:dyDescent="0.3">
      <c r="A44" s="445"/>
      <c r="B44" s="120" t="s">
        <v>1</v>
      </c>
      <c r="C44" s="120"/>
      <c r="D44" s="120"/>
      <c r="E44" s="120"/>
      <c r="F44" s="120"/>
      <c r="G44" s="120"/>
      <c r="H44" s="120"/>
      <c r="I44" s="120"/>
      <c r="J44" s="446"/>
    </row>
    <row r="45" spans="1:11" ht="13" x14ac:dyDescent="0.3">
      <c r="A45" s="91"/>
      <c r="B45" s="96" t="s">
        <v>457</v>
      </c>
      <c r="C45" s="97"/>
      <c r="D45" s="97"/>
      <c r="E45" s="97"/>
      <c r="F45" s="97"/>
      <c r="G45" s="97"/>
      <c r="H45" s="969" t="s">
        <v>239</v>
      </c>
      <c r="I45" s="971" t="s">
        <v>239</v>
      </c>
      <c r="J45" s="95"/>
    </row>
    <row r="46" spans="1:11" ht="13" x14ac:dyDescent="0.3">
      <c r="A46" s="91"/>
      <c r="B46" s="99"/>
      <c r="C46" s="100"/>
      <c r="D46" s="100"/>
      <c r="E46" s="100"/>
      <c r="F46" s="100"/>
      <c r="G46" s="100"/>
      <c r="H46" s="970"/>
      <c r="I46" s="971"/>
      <c r="J46" s="95"/>
    </row>
    <row r="47" spans="1:11" ht="13" x14ac:dyDescent="0.3">
      <c r="A47" s="91"/>
      <c r="B47" s="122"/>
      <c r="C47" s="74"/>
      <c r="D47" s="74"/>
      <c r="E47" s="74"/>
      <c r="F47" s="74"/>
      <c r="G47" s="74"/>
      <c r="H47" s="128"/>
      <c r="I47" s="128"/>
      <c r="J47" s="95"/>
    </row>
    <row r="48" spans="1:11" ht="13" x14ac:dyDescent="0.3">
      <c r="A48" s="91"/>
      <c r="B48" s="122"/>
      <c r="C48" s="74"/>
      <c r="D48" s="74"/>
      <c r="E48" s="74" t="s">
        <v>1</v>
      </c>
      <c r="F48" s="74"/>
      <c r="G48" s="74"/>
      <c r="H48" s="74"/>
      <c r="I48" s="74"/>
      <c r="J48" s="444"/>
    </row>
    <row r="49" spans="1:12" ht="13" x14ac:dyDescent="0.3">
      <c r="A49" s="91"/>
      <c r="B49" s="74"/>
      <c r="C49" s="74"/>
      <c r="D49" s="74"/>
      <c r="E49" s="74"/>
      <c r="F49" s="74"/>
      <c r="G49" s="74"/>
      <c r="H49" s="103" t="str">
        <f>+'Unit tariffs'!E11</f>
        <v>2025/2026</v>
      </c>
      <c r="I49" s="103" t="str">
        <f>+'Unit tariffs'!$F$11</f>
        <v>2026/2027</v>
      </c>
      <c r="J49" s="444" t="s">
        <v>313</v>
      </c>
    </row>
    <row r="50" spans="1:12" ht="13" x14ac:dyDescent="0.3">
      <c r="A50" s="91"/>
      <c r="B50" s="104" t="s">
        <v>41</v>
      </c>
      <c r="C50" s="74"/>
      <c r="D50" s="74"/>
      <c r="E50" s="74"/>
      <c r="F50" s="74"/>
      <c r="G50" s="74"/>
      <c r="H50" s="76"/>
      <c r="I50" s="76"/>
      <c r="J50" s="95"/>
    </row>
    <row r="51" spans="1:12" ht="13" x14ac:dyDescent="0.3">
      <c r="A51" s="91"/>
      <c r="B51" s="104"/>
      <c r="C51" s="74"/>
      <c r="D51" s="74"/>
      <c r="E51" s="74"/>
      <c r="F51" s="74"/>
      <c r="G51" s="74"/>
      <c r="H51" s="76"/>
      <c r="I51" s="76"/>
      <c r="J51" s="95"/>
    </row>
    <row r="52" spans="1:12" ht="13" x14ac:dyDescent="0.3">
      <c r="A52" s="91"/>
      <c r="B52" s="74">
        <v>37</v>
      </c>
      <c r="C52" s="74" t="str">
        <f>'Unit tariffs'!B68</f>
        <v>10 mm Copper Airdac cable</v>
      </c>
      <c r="D52" s="74"/>
      <c r="E52" s="74"/>
      <c r="F52" s="74"/>
      <c r="G52" s="74"/>
      <c r="H52" s="76">
        <v>369.08011783999996</v>
      </c>
      <c r="I52" s="76">
        <f>VLOOKUP($C52,'Unit tariffs'!$B$21:$F$123,5,FALSE)*$B52</f>
        <v>366.65195916999994</v>
      </c>
      <c r="J52" s="95"/>
    </row>
    <row r="53" spans="1:12" ht="13" x14ac:dyDescent="0.3">
      <c r="A53" s="91"/>
      <c r="B53" s="74">
        <v>2</v>
      </c>
      <c r="C53" s="74" t="str">
        <f>'Unit tariffs'!B69</f>
        <v>Strain clamp - Airdac</v>
      </c>
      <c r="D53" s="74"/>
      <c r="E53" s="74"/>
      <c r="F53" s="74"/>
      <c r="G53" s="74"/>
      <c r="H53" s="76">
        <v>32.643839200000002</v>
      </c>
      <c r="I53" s="76">
        <f>VLOOKUP($C53,'Unit tariffs'!$B$21:$F$123,5,FALSE)*$B53</f>
        <v>32.429077100000001</v>
      </c>
      <c r="J53" s="95"/>
    </row>
    <row r="54" spans="1:12" ht="13" x14ac:dyDescent="0.3">
      <c r="A54" s="91"/>
      <c r="B54" s="74">
        <v>1</v>
      </c>
      <c r="C54" s="74" t="str">
        <f>'Unit tariffs'!B34</f>
        <v>METER:S/P WIRED PRE-PAID</v>
      </c>
      <c r="D54" s="74"/>
      <c r="E54" s="74"/>
      <c r="F54" s="74"/>
      <c r="G54" s="74"/>
      <c r="H54" s="76">
        <v>2156.5407359999999</v>
      </c>
      <c r="I54" s="76">
        <f>VLOOKUP($C54,'Unit tariffs'!$B$21:$F$123,5,FALSE)*$B54</f>
        <v>2142.3529679999997</v>
      </c>
      <c r="J54" s="95"/>
    </row>
    <row r="55" spans="1:12" ht="13" x14ac:dyDescent="0.3">
      <c r="A55" s="91"/>
      <c r="B55" s="74">
        <v>1</v>
      </c>
      <c r="C55" s="74" t="str">
        <f>'Unit tariffs'!B39</f>
        <v>Ready board only</v>
      </c>
      <c r="D55" s="74"/>
      <c r="E55" s="74"/>
      <c r="F55" s="74"/>
      <c r="G55" s="74"/>
      <c r="H55" s="76">
        <v>479.989552</v>
      </c>
      <c r="I55" s="76">
        <f>VLOOKUP($C55,'Unit tariffs'!$B$21:$F$123,5,FALSE)*$B55</f>
        <v>476.83172599999995</v>
      </c>
      <c r="J55" s="457" t="e">
        <f>IF(+I55*'Unit tariffs'!#REF!&gt;'Unit tariffs'!#REF!,'Unit tariffs'!#REF!,+I55*'Unit tariffs'!#REF!)</f>
        <v>#REF!</v>
      </c>
    </row>
    <row r="56" spans="1:12" ht="13" x14ac:dyDescent="0.3">
      <c r="A56" s="91"/>
      <c r="B56" s="74">
        <v>1</v>
      </c>
      <c r="C56" s="74" t="str">
        <f>'Unit tariffs'!B21</f>
        <v>Installation material</v>
      </c>
      <c r="D56" s="74"/>
      <c r="E56" s="74"/>
      <c r="F56" s="74"/>
      <c r="G56" s="74"/>
      <c r="H56" s="76">
        <v>284.35400000000004</v>
      </c>
      <c r="I56" s="76">
        <f>VLOOKUP($C56,'Unit tariffs'!$B$21:$F$123,5,FALSE)*$B56</f>
        <v>282.48325</v>
      </c>
      <c r="J56" s="457" t="e">
        <f>IF(+I56*'Unit tariffs'!#REF!&gt;'Unit tariffs'!#REF!,'Unit tariffs'!#REF!,+I56*'Unit tariffs'!#REF!)</f>
        <v>#REF!</v>
      </c>
    </row>
    <row r="57" spans="1:12" ht="13" x14ac:dyDescent="0.3">
      <c r="A57" s="91"/>
      <c r="B57" s="74">
        <v>1</v>
      </c>
      <c r="C57" s="74" t="str">
        <f>'Unit tariffs'!B24</f>
        <v>L-Bracket</v>
      </c>
      <c r="D57" s="74"/>
      <c r="E57" s="74"/>
      <c r="F57" s="74"/>
      <c r="G57" s="74"/>
      <c r="H57" s="76">
        <v>621.02913599999999</v>
      </c>
      <c r="I57" s="76">
        <f>VLOOKUP($C57,'Unit tariffs'!$B$21:$F$123,5,FALSE)*$B57</f>
        <v>616.94341799999995</v>
      </c>
      <c r="J57" s="457" t="e">
        <f>IF(+I57*'Unit tariffs'!#REF!&gt;'Unit tariffs'!#REF!,'Unit tariffs'!#REF!,+I57*'Unit tariffs'!#REF!)</f>
        <v>#REF!</v>
      </c>
    </row>
    <row r="58" spans="1:12" ht="13" x14ac:dyDescent="0.3">
      <c r="A58" s="91"/>
      <c r="B58" s="74">
        <v>1</v>
      </c>
      <c r="C58" s="74" t="str">
        <f>'Unit tariffs'!B22</f>
        <v>25 mm bend</v>
      </c>
      <c r="D58" s="74"/>
      <c r="E58" s="74"/>
      <c r="F58" s="74"/>
      <c r="G58" s="74"/>
      <c r="H58" s="76">
        <v>32.268491920000002</v>
      </c>
      <c r="I58" s="76">
        <f>VLOOKUP($C58,'Unit tariffs'!$B$21:$F$123,5,FALSE)*$B58</f>
        <v>32.056199209999996</v>
      </c>
      <c r="J58" s="457"/>
      <c r="L58" s="646"/>
    </row>
    <row r="59" spans="1:12" ht="13" x14ac:dyDescent="0.3">
      <c r="A59" s="91"/>
      <c r="B59" s="74">
        <v>0.5</v>
      </c>
      <c r="C59" s="74" t="str">
        <f>'Unit tariffs'!B29</f>
        <v>One way Stubby box</v>
      </c>
      <c r="D59" s="74"/>
      <c r="E59" s="74"/>
      <c r="F59" s="74"/>
      <c r="G59" s="74"/>
      <c r="H59" s="76">
        <v>1020.9218532800001</v>
      </c>
      <c r="I59" s="76">
        <f>VLOOKUP($C59,'Unit tariffs'!$B$21:$F$123,5,FALSE)*$B59</f>
        <v>1014.2052621399999</v>
      </c>
      <c r="J59" s="457"/>
    </row>
    <row r="60" spans="1:12" ht="13" x14ac:dyDescent="0.3">
      <c r="A60" s="91"/>
      <c r="B60" s="74">
        <v>1</v>
      </c>
      <c r="C60" s="74" t="str">
        <f>'Unit tariffs'!B39</f>
        <v>Ready board only</v>
      </c>
      <c r="D60" s="74"/>
      <c r="E60" s="74"/>
      <c r="F60" s="74"/>
      <c r="G60" s="76"/>
      <c r="H60" s="81">
        <v>1385.3726879999999</v>
      </c>
      <c r="I60" s="81">
        <f>SUM(I55:I57)</f>
        <v>1376.258394</v>
      </c>
      <c r="J60" s="105"/>
    </row>
    <row r="61" spans="1:12" ht="13" x14ac:dyDescent="0.3">
      <c r="A61" s="91"/>
      <c r="B61" s="74"/>
      <c r="C61" s="74"/>
      <c r="D61" s="74"/>
      <c r="E61" s="74"/>
      <c r="F61" s="74"/>
      <c r="G61" s="76"/>
      <c r="H61" s="76">
        <v>6382.2004142400001</v>
      </c>
      <c r="I61" s="76">
        <f>SUM(I52:I60)</f>
        <v>6340.2122536199986</v>
      </c>
      <c r="J61" s="105"/>
    </row>
    <row r="62" spans="1:12" ht="13" x14ac:dyDescent="0.3">
      <c r="A62" s="91"/>
      <c r="B62" s="74"/>
      <c r="C62" s="74"/>
      <c r="D62" s="74"/>
      <c r="E62" s="74"/>
      <c r="F62" s="74"/>
      <c r="G62" s="76"/>
      <c r="H62" s="76"/>
      <c r="I62" s="76"/>
      <c r="J62" s="105"/>
    </row>
    <row r="63" spans="1:12" ht="13" x14ac:dyDescent="0.3">
      <c r="A63" s="91"/>
      <c r="B63" s="104" t="s">
        <v>42</v>
      </c>
      <c r="C63" s="74"/>
      <c r="D63" s="74"/>
      <c r="E63" s="74"/>
      <c r="F63" s="74"/>
      <c r="G63" s="74"/>
      <c r="H63" s="74"/>
      <c r="I63" s="74"/>
      <c r="J63" s="95"/>
    </row>
    <row r="64" spans="1:12" ht="13" x14ac:dyDescent="0.3">
      <c r="A64" s="91"/>
      <c r="B64" s="74"/>
      <c r="C64" s="74"/>
      <c r="D64" s="74"/>
      <c r="E64" s="74"/>
      <c r="F64" s="74"/>
      <c r="G64" s="74"/>
      <c r="H64" s="74"/>
      <c r="I64" s="74"/>
      <c r="J64" s="95"/>
    </row>
    <row r="65" spans="1:10" ht="13" x14ac:dyDescent="0.3">
      <c r="A65" s="91"/>
      <c r="B65" s="74">
        <v>0.25</v>
      </c>
      <c r="C65" s="74" t="str">
        <f>'Unit tariffs'!B$87</f>
        <v xml:space="preserve">hour-artisan </v>
      </c>
      <c r="D65" s="74"/>
      <c r="E65" s="74"/>
      <c r="F65" s="74"/>
      <c r="G65" s="74"/>
      <c r="H65" s="76">
        <v>87.798191538461552</v>
      </c>
      <c r="I65" s="76">
        <f>VLOOKUP($C65,'Unit tariffs'!$B$21:$F$123,5,FALSE)*$B65</f>
        <v>87.798191538461552</v>
      </c>
      <c r="J65" s="105"/>
    </row>
    <row r="66" spans="1:10" ht="13" x14ac:dyDescent="0.3">
      <c r="A66" s="91"/>
      <c r="B66" s="74">
        <v>0.51</v>
      </c>
      <c r="C66" s="74" t="str">
        <f>'Unit tariffs'!B$85</f>
        <v>hour-artisan assistant</v>
      </c>
      <c r="D66" s="74"/>
      <c r="E66" s="74"/>
      <c r="F66" s="74"/>
      <c r="G66" s="74"/>
      <c r="H66" s="81">
        <v>71.310371815384627</v>
      </c>
      <c r="I66" s="81">
        <f>VLOOKUP($C66,'Unit tariffs'!$B$21:$F$123,5,FALSE)*$B66</f>
        <v>71.310371815384627</v>
      </c>
      <c r="J66" s="105"/>
    </row>
    <row r="67" spans="1:10" ht="13" x14ac:dyDescent="0.3">
      <c r="A67" s="91"/>
      <c r="B67" s="74"/>
      <c r="C67" s="74"/>
      <c r="D67" s="74"/>
      <c r="E67" s="74"/>
      <c r="F67" s="74"/>
      <c r="G67" s="74"/>
      <c r="H67" s="76">
        <v>159.10856335384619</v>
      </c>
      <c r="I67" s="76">
        <f>SUM(I65:I66)</f>
        <v>159.10856335384619</v>
      </c>
      <c r="J67" s="105"/>
    </row>
    <row r="68" spans="1:10" ht="13" x14ac:dyDescent="0.3">
      <c r="A68" s="91"/>
      <c r="B68" s="104" t="s">
        <v>43</v>
      </c>
      <c r="C68" s="74"/>
      <c r="D68" s="74"/>
      <c r="E68" s="74"/>
      <c r="F68" s="74"/>
      <c r="G68" s="74"/>
      <c r="H68" s="74"/>
      <c r="I68" s="74"/>
      <c r="J68" s="95"/>
    </row>
    <row r="69" spans="1:10" ht="13" x14ac:dyDescent="0.3">
      <c r="A69" s="91"/>
      <c r="B69" s="74"/>
      <c r="C69" s="74"/>
      <c r="D69" s="74"/>
      <c r="E69" s="74"/>
      <c r="F69" s="74"/>
      <c r="G69" s="74"/>
      <c r="H69" s="74"/>
      <c r="I69" s="74"/>
      <c r="J69" s="95"/>
    </row>
    <row r="70" spans="1:10" ht="13" x14ac:dyDescent="0.3">
      <c r="A70" s="91"/>
      <c r="B70" s="74">
        <v>24</v>
      </c>
      <c r="C70" s="74" t="str">
        <f>'Unit tariffs'!B$111</f>
        <v>km-truck with platform</v>
      </c>
      <c r="D70" s="74"/>
      <c r="E70" s="74"/>
      <c r="F70" s="74"/>
      <c r="G70" s="74"/>
      <c r="H70" s="76">
        <v>1190.6328325523293</v>
      </c>
      <c r="I70" s="76">
        <f>VLOOKUP($C70,'Unit tariffs'!$B$21:$F$123,5,FALSE)*$B70</f>
        <v>1182.7997218118533</v>
      </c>
      <c r="J70" s="105"/>
    </row>
    <row r="71" spans="1:10" ht="13" x14ac:dyDescent="0.3">
      <c r="A71" s="91"/>
      <c r="B71" s="74">
        <v>1</v>
      </c>
      <c r="C71" s="74" t="str">
        <f>'Unit tariffs'!B$112</f>
        <v>hour-truck with platform</v>
      </c>
      <c r="D71" s="74"/>
      <c r="E71" s="74"/>
      <c r="F71" s="74"/>
      <c r="G71" s="74"/>
      <c r="H71" s="76">
        <v>241.43148553267841</v>
      </c>
      <c r="I71" s="76">
        <f>VLOOKUP($C71,'Unit tariffs'!$B$21:$F$123,5,FALSE)*$B71</f>
        <v>239.8431204962792</v>
      </c>
      <c r="J71" s="105"/>
    </row>
    <row r="72" spans="1:10" ht="13" x14ac:dyDescent="0.3">
      <c r="A72" s="91"/>
      <c r="B72" s="74"/>
      <c r="C72" s="74"/>
      <c r="D72" s="74"/>
      <c r="E72" s="74"/>
      <c r="F72" s="74"/>
      <c r="G72" s="74"/>
      <c r="H72" s="137">
        <v>1432.0643180850077</v>
      </c>
      <c r="I72" s="137">
        <f>SUM(I70:I71)</f>
        <v>1422.6428423081325</v>
      </c>
      <c r="J72" s="105"/>
    </row>
    <row r="73" spans="1:10" ht="13" x14ac:dyDescent="0.3">
      <c r="A73" s="91"/>
      <c r="J73" s="105"/>
    </row>
    <row r="74" spans="1:10" ht="13" x14ac:dyDescent="0.3">
      <c r="A74" s="91"/>
      <c r="J74" s="105"/>
    </row>
    <row r="75" spans="1:10" ht="13" x14ac:dyDescent="0.3">
      <c r="A75" s="91"/>
      <c r="B75" s="74"/>
      <c r="C75" s="74"/>
      <c r="D75" s="74"/>
      <c r="E75" s="74"/>
      <c r="F75" s="74"/>
      <c r="G75" s="76"/>
      <c r="H75" s="76">
        <v>7973.3732956788535</v>
      </c>
      <c r="I75" s="76">
        <f>I72+I67+I61</f>
        <v>7921.963659281977</v>
      </c>
      <c r="J75" s="105"/>
    </row>
    <row r="76" spans="1:10" ht="13.5" thickBot="1" x14ac:dyDescent="0.35">
      <c r="A76" s="91"/>
      <c r="B76" s="104" t="str">
        <f>'Unit tariffs'!$B$7</f>
        <v>Administration Levy (Indirect Cost)</v>
      </c>
      <c r="C76" s="74"/>
      <c r="D76" s="106">
        <f>'Unit tariffs'!$C$7</f>
        <v>0.1</v>
      </c>
      <c r="E76" s="74" t="s">
        <v>311</v>
      </c>
      <c r="F76" s="186">
        <f>+'Unit tariffs'!$F$7</f>
        <v>10000</v>
      </c>
      <c r="G76" s="76"/>
      <c r="H76" s="108">
        <v>797.33732956788538</v>
      </c>
      <c r="I76" s="108">
        <f>IF(I75*$D76&gt;='Unit tariffs'!$E$7,'Unit tariffs'!$E$7,I75*$D76)</f>
        <v>792.19636592819779</v>
      </c>
      <c r="J76" s="105"/>
    </row>
    <row r="77" spans="1:10" ht="13.5" thickTop="1" x14ac:dyDescent="0.3">
      <c r="A77" s="91"/>
      <c r="B77" s="104" t="s">
        <v>44</v>
      </c>
      <c r="C77" s="74"/>
      <c r="D77" s="74"/>
      <c r="E77" s="74"/>
      <c r="F77" s="74"/>
      <c r="G77" s="76"/>
      <c r="H77" s="109">
        <v>8770.7106252467383</v>
      </c>
      <c r="I77" s="109">
        <f>SUM(I75:I76)</f>
        <v>8714.1600252101744</v>
      </c>
      <c r="J77" s="110"/>
    </row>
    <row r="78" spans="1:10" ht="13" x14ac:dyDescent="0.3">
      <c r="A78" s="91"/>
      <c r="B78" s="104"/>
      <c r="C78" s="74"/>
      <c r="D78" s="74"/>
      <c r="E78" s="74"/>
      <c r="F78" s="74"/>
      <c r="G78" s="76"/>
      <c r="H78" s="76"/>
      <c r="I78" s="76"/>
      <c r="J78" s="110"/>
    </row>
    <row r="79" spans="1:10" ht="13" x14ac:dyDescent="0.3">
      <c r="A79" s="91"/>
      <c r="B79" s="104" t="s">
        <v>45</v>
      </c>
      <c r="C79" s="74"/>
      <c r="D79" s="74"/>
      <c r="E79" s="74"/>
      <c r="F79" s="74"/>
      <c r="G79" s="74"/>
      <c r="H79" s="841">
        <v>8770</v>
      </c>
      <c r="I79" s="84">
        <f>ROUND(I77,-1)</f>
        <v>8710</v>
      </c>
      <c r="J79" s="110"/>
    </row>
    <row r="80" spans="1:10" ht="13" x14ac:dyDescent="0.3">
      <c r="A80" s="91"/>
      <c r="B80" s="104"/>
      <c r="C80" s="74"/>
      <c r="D80" s="74"/>
      <c r="E80" s="74"/>
      <c r="F80" s="74"/>
      <c r="G80" s="74"/>
      <c r="H80" s="84"/>
      <c r="I80" s="84"/>
      <c r="J80" s="110"/>
    </row>
    <row r="81" spans="1:10" ht="13" x14ac:dyDescent="0.3">
      <c r="A81" s="91"/>
      <c r="B81" s="74"/>
      <c r="C81" s="74"/>
      <c r="D81" s="74"/>
      <c r="E81" s="74"/>
      <c r="F81" s="74"/>
      <c r="G81" s="74"/>
      <c r="H81" s="76"/>
      <c r="I81" s="76"/>
      <c r="J81" s="105"/>
    </row>
    <row r="82" spans="1:10" ht="13" x14ac:dyDescent="0.3">
      <c r="A82" s="91"/>
      <c r="B82" s="74"/>
      <c r="C82" s="74"/>
      <c r="D82" s="74"/>
      <c r="E82" s="74"/>
      <c r="F82" s="74"/>
      <c r="G82" s="74"/>
      <c r="H82" s="112">
        <v>8.2716049382716053E-2</v>
      </c>
      <c r="I82" s="112">
        <f>(+I79-H79)/H79</f>
        <v>-6.8415051311288486E-3</v>
      </c>
      <c r="J82" s="113"/>
    </row>
    <row r="83" spans="1:10" ht="13.5" thickBot="1" x14ac:dyDescent="0.35">
      <c r="A83" s="448"/>
      <c r="B83" s="123"/>
      <c r="C83" s="123"/>
      <c r="D83" s="123"/>
      <c r="E83" s="123"/>
      <c r="F83" s="123"/>
      <c r="G83" s="123"/>
      <c r="H83" s="123"/>
      <c r="I83" s="123"/>
      <c r="J83" s="449"/>
    </row>
    <row r="84" spans="1:10" ht="13.5" thickTop="1" x14ac:dyDescent="0.3">
      <c r="A84" s="91"/>
      <c r="B84" s="74"/>
      <c r="C84" s="74"/>
      <c r="D84" s="74"/>
      <c r="E84" s="74"/>
      <c r="F84" s="74"/>
      <c r="G84" s="74"/>
      <c r="H84" s="74"/>
      <c r="I84" s="74"/>
      <c r="J84" s="95"/>
    </row>
    <row r="85" spans="1:10" ht="13" x14ac:dyDescent="0.3">
      <c r="A85" s="91"/>
      <c r="B85" s="823" t="s">
        <v>511</v>
      </c>
      <c r="C85" s="818"/>
      <c r="D85" s="818"/>
      <c r="E85" s="818"/>
      <c r="F85" s="818"/>
      <c r="G85" s="819"/>
      <c r="H85" s="969" t="s">
        <v>239</v>
      </c>
      <c r="I85" s="971" t="s">
        <v>239</v>
      </c>
      <c r="J85" s="95"/>
    </row>
    <row r="86" spans="1:10" ht="13" x14ac:dyDescent="0.3">
      <c r="A86" s="91"/>
      <c r="B86" s="820"/>
      <c r="C86" s="821"/>
      <c r="D86" s="821"/>
      <c r="E86" s="821"/>
      <c r="F86" s="821"/>
      <c r="G86" s="822"/>
      <c r="H86" s="970"/>
      <c r="I86" s="971"/>
      <c r="J86" s="95"/>
    </row>
    <row r="87" spans="1:10" ht="13" x14ac:dyDescent="0.3">
      <c r="A87" s="91"/>
      <c r="B87" s="122"/>
      <c r="C87" s="74"/>
      <c r="D87" s="74"/>
      <c r="E87" s="74"/>
      <c r="F87" s="74"/>
      <c r="G87" s="74"/>
      <c r="H87" s="128"/>
      <c r="I87" s="128"/>
      <c r="J87" s="95"/>
    </row>
    <row r="88" spans="1:10" ht="13" x14ac:dyDescent="0.3">
      <c r="A88" s="91"/>
      <c r="B88" s="122"/>
      <c r="C88" s="74"/>
      <c r="D88" s="74"/>
      <c r="E88" s="74" t="s">
        <v>1</v>
      </c>
      <c r="F88" s="74"/>
      <c r="G88" s="74"/>
      <c r="H88" s="74"/>
      <c r="I88" s="74"/>
      <c r="J88" s="444"/>
    </row>
    <row r="89" spans="1:10" ht="13" x14ac:dyDescent="0.3">
      <c r="A89" s="91"/>
      <c r="B89" s="74"/>
      <c r="C89" s="74"/>
      <c r="D89" s="74"/>
      <c r="E89" s="74"/>
      <c r="F89" s="74"/>
      <c r="G89" s="74"/>
      <c r="H89" s="103" t="str">
        <f>+'Unit tariffs'!$E$11</f>
        <v>2025/2026</v>
      </c>
      <c r="I89" s="103" t="str">
        <f>+'Unit tariffs'!$F$11</f>
        <v>2026/2027</v>
      </c>
      <c r="J89" s="444" t="s">
        <v>313</v>
      </c>
    </row>
    <row r="90" spans="1:10" ht="13" x14ac:dyDescent="0.3">
      <c r="A90" s="91"/>
      <c r="B90" s="104" t="s">
        <v>41</v>
      </c>
      <c r="C90" s="74"/>
      <c r="D90" s="74"/>
      <c r="E90" s="74"/>
      <c r="F90" s="74"/>
      <c r="G90" s="74"/>
      <c r="H90" s="76"/>
      <c r="I90" s="76"/>
      <c r="J90" s="95"/>
    </row>
    <row r="91" spans="1:10" ht="13" x14ac:dyDescent="0.3">
      <c r="A91" s="91"/>
      <c r="B91" s="104"/>
      <c r="C91" s="74"/>
      <c r="D91" s="74"/>
      <c r="E91" s="74"/>
      <c r="F91" s="74"/>
      <c r="G91" s="74"/>
      <c r="H91" s="76"/>
      <c r="I91" s="76"/>
      <c r="J91" s="95"/>
    </row>
    <row r="92" spans="1:10" ht="13" x14ac:dyDescent="0.3">
      <c r="A92" s="91"/>
      <c r="B92" s="74">
        <v>15</v>
      </c>
      <c r="C92" s="74" t="str">
        <f>'Unit tariffs'!B56</f>
        <v>m 16 mm x 4 Cu cable</v>
      </c>
      <c r="D92" s="74"/>
      <c r="E92" s="74"/>
      <c r="F92" s="74"/>
      <c r="G92" s="74"/>
      <c r="H92" s="76">
        <v>6264.8873279999998</v>
      </c>
      <c r="I92" s="76">
        <f>VLOOKUP($C92,'Unit tariffs'!$B$21:$F$123,5,FALSE)*$B92</f>
        <v>6223.670963999999</v>
      </c>
      <c r="J92" s="95"/>
    </row>
    <row r="93" spans="1:10" ht="13" x14ac:dyDescent="0.3">
      <c r="A93" s="91"/>
      <c r="B93" s="74">
        <v>0.5</v>
      </c>
      <c r="C93" s="74" t="str">
        <f>'Unit tariffs'!B30</f>
        <v>Two way Stubby box</v>
      </c>
      <c r="D93" s="74"/>
      <c r="E93" s="74"/>
      <c r="F93" s="74"/>
      <c r="G93" s="74"/>
      <c r="H93" s="76">
        <v>1081.6143710399999</v>
      </c>
      <c r="I93" s="76">
        <f>VLOOKUP($C93,'Unit tariffs'!$B$21:$F$123,5,FALSE)*$B93</f>
        <v>1074.4984870199999</v>
      </c>
      <c r="J93" s="95"/>
    </row>
    <row r="94" spans="1:10" ht="13" x14ac:dyDescent="0.3">
      <c r="A94" s="91"/>
      <c r="B94" s="74">
        <v>0.5</v>
      </c>
      <c r="C94" s="74" t="str">
        <f>'Unit tariffs'!B25</f>
        <v>Cement base for meter box</v>
      </c>
      <c r="D94" s="74"/>
      <c r="E94" s="74"/>
      <c r="F94" s="74"/>
      <c r="G94" s="74"/>
      <c r="H94" s="76">
        <v>1128.5441552000002</v>
      </c>
      <c r="I94" s="76">
        <f>VLOOKUP($C94,'Unit tariffs'!$B$21:$F$123,5,FALSE)*$B94</f>
        <v>1121.1195226</v>
      </c>
      <c r="J94" s="95"/>
    </row>
    <row r="95" spans="1:10" ht="13" x14ac:dyDescent="0.3">
      <c r="A95" s="91"/>
      <c r="B95" s="74">
        <v>1</v>
      </c>
      <c r="C95" s="74" t="str">
        <f>'Unit tariffs'!B43</f>
        <v>x 80 A circuit breaker (5kA) - Orange</v>
      </c>
      <c r="D95" s="74"/>
      <c r="E95" s="74"/>
      <c r="F95" s="74"/>
      <c r="G95" s="74"/>
      <c r="H95" s="76">
        <v>0</v>
      </c>
      <c r="I95" s="76">
        <f>VLOOKUP($C95,'Unit tariffs'!$B$21:$F$123,5,FALSE)*$B95</f>
        <v>0</v>
      </c>
      <c r="J95" s="457" t="e">
        <f>IF(+I95*'Unit tariffs'!#REF!&gt;'Unit tariffs'!#REF!,'Unit tariffs'!#REF!,+I95*'Unit tariffs'!#REF!)</f>
        <v>#REF!</v>
      </c>
    </row>
    <row r="96" spans="1:10" ht="13" x14ac:dyDescent="0.3">
      <c r="A96" s="91"/>
      <c r="B96" s="74">
        <v>1</v>
      </c>
      <c r="C96" s="74" t="str">
        <f>'Unit tariffs'!B34</f>
        <v>METER:S/P WIRED PRE-PAID</v>
      </c>
      <c r="D96" s="74"/>
      <c r="E96" s="74"/>
      <c r="F96" s="74"/>
      <c r="G96" s="74"/>
      <c r="H96" s="76">
        <v>2156.5407359999999</v>
      </c>
      <c r="I96" s="76">
        <f>VLOOKUP($C96,'Unit tariffs'!$B$21:$F$123,5,FALSE)*$B96</f>
        <v>2142.3529679999997</v>
      </c>
      <c r="J96" s="457" t="e">
        <f>IF(+I96*'Unit tariffs'!#REF!&gt;'Unit tariffs'!#REF!,'Unit tariffs'!#REF!,+I96*'Unit tariffs'!#REF!)</f>
        <v>#REF!</v>
      </c>
    </row>
    <row r="97" spans="1:10" ht="13" x14ac:dyDescent="0.3">
      <c r="A97" s="91"/>
      <c r="B97" s="74">
        <v>1</v>
      </c>
      <c r="C97" s="74" t="str">
        <f>'Unit tariffs'!B21</f>
        <v>Installation material</v>
      </c>
      <c r="D97" s="74"/>
      <c r="E97" s="74"/>
      <c r="F97" s="74"/>
      <c r="G97" s="74"/>
      <c r="H97" s="81">
        <v>284.35400000000004</v>
      </c>
      <c r="I97" s="81">
        <f>VLOOKUP($C97,'Unit tariffs'!$B$21:$F$123,5,FALSE)*$B97</f>
        <v>282.48325</v>
      </c>
      <c r="J97" s="457" t="e">
        <f>IF(+I97*'Unit tariffs'!#REF!&gt;'Unit tariffs'!#REF!,'Unit tariffs'!#REF!,+I97*'Unit tariffs'!#REF!)</f>
        <v>#REF!</v>
      </c>
    </row>
    <row r="98" spans="1:10" ht="13" x14ac:dyDescent="0.3">
      <c r="A98" s="91"/>
      <c r="B98" s="74"/>
      <c r="C98" s="74"/>
      <c r="D98" s="74"/>
      <c r="E98" s="74"/>
      <c r="F98" s="74"/>
      <c r="G98" s="76"/>
      <c r="H98" s="76">
        <v>10915.940590239999</v>
      </c>
      <c r="I98" s="76">
        <f>SUM(I92:I97)</f>
        <v>10844.125191619996</v>
      </c>
      <c r="J98" s="105"/>
    </row>
    <row r="99" spans="1:10" ht="13" x14ac:dyDescent="0.3">
      <c r="A99" s="91"/>
      <c r="B99" s="74"/>
      <c r="C99" s="74"/>
      <c r="D99" s="74"/>
      <c r="E99" s="74"/>
      <c r="F99" s="74"/>
      <c r="G99" s="76"/>
      <c r="H99" s="76"/>
      <c r="I99" s="76"/>
      <c r="J99" s="105"/>
    </row>
    <row r="100" spans="1:10" ht="13" x14ac:dyDescent="0.3">
      <c r="A100" s="91"/>
      <c r="B100" s="104" t="s">
        <v>42</v>
      </c>
      <c r="C100" s="74"/>
      <c r="D100" s="74"/>
      <c r="E100" s="74"/>
      <c r="F100" s="74"/>
      <c r="G100" s="74"/>
      <c r="H100" s="74"/>
      <c r="I100" s="74"/>
      <c r="J100" s="95"/>
    </row>
    <row r="101" spans="1:10" ht="13" x14ac:dyDescent="0.3">
      <c r="A101" s="91"/>
      <c r="B101" s="74"/>
      <c r="C101" s="74"/>
      <c r="D101" s="74"/>
      <c r="E101" s="74"/>
      <c r="F101" s="74"/>
      <c r="G101" s="74"/>
      <c r="H101" s="74"/>
      <c r="I101" s="74"/>
      <c r="J101" s="95"/>
    </row>
    <row r="102" spans="1:10" ht="13" x14ac:dyDescent="0.3">
      <c r="A102" s="91"/>
      <c r="B102" s="74">
        <v>0.25</v>
      </c>
      <c r="C102" s="74" t="str">
        <f>'Unit tariffs'!B$87</f>
        <v xml:space="preserve">hour-artisan </v>
      </c>
      <c r="D102" s="74"/>
      <c r="E102" s="74"/>
      <c r="F102" s="74"/>
      <c r="G102" s="74"/>
      <c r="H102" s="76">
        <v>87.798191538461552</v>
      </c>
      <c r="I102" s="76">
        <f>VLOOKUP($C102,'Unit tariffs'!$B$21:$F$123,5,FALSE)*$B102</f>
        <v>87.798191538461552</v>
      </c>
      <c r="J102" s="105"/>
    </row>
    <row r="103" spans="1:10" ht="13" x14ac:dyDescent="0.3">
      <c r="A103" s="91"/>
      <c r="B103" s="74">
        <v>0.51</v>
      </c>
      <c r="C103" s="74" t="str">
        <f>'Unit tariffs'!B$85</f>
        <v>hour-artisan assistant</v>
      </c>
      <c r="D103" s="74"/>
      <c r="E103" s="74"/>
      <c r="F103" s="74"/>
      <c r="G103" s="74"/>
      <c r="H103" s="81">
        <v>71.310371815384627</v>
      </c>
      <c r="I103" s="81">
        <f>VLOOKUP($C103,'Unit tariffs'!$B$21:$F$123,5,FALSE)*$B103</f>
        <v>71.310371815384627</v>
      </c>
      <c r="J103" s="105"/>
    </row>
    <row r="104" spans="1:10" ht="13" x14ac:dyDescent="0.3">
      <c r="A104" s="91"/>
      <c r="B104" s="74"/>
      <c r="C104" s="74"/>
      <c r="D104" s="74"/>
      <c r="E104" s="74"/>
      <c r="F104" s="74"/>
      <c r="G104" s="74"/>
      <c r="H104" s="76">
        <v>159.10856335384619</v>
      </c>
      <c r="I104" s="76">
        <f>SUM(I102:I103)</f>
        <v>159.10856335384619</v>
      </c>
      <c r="J104" s="105"/>
    </row>
    <row r="105" spans="1:10" ht="13" x14ac:dyDescent="0.3">
      <c r="A105" s="91"/>
      <c r="B105" s="104" t="s">
        <v>43</v>
      </c>
      <c r="C105" s="74"/>
      <c r="D105" s="74"/>
      <c r="E105" s="74"/>
      <c r="F105" s="74"/>
      <c r="G105" s="74"/>
      <c r="H105" s="74"/>
      <c r="I105" s="74"/>
      <c r="J105" s="95"/>
    </row>
    <row r="106" spans="1:10" ht="13" x14ac:dyDescent="0.3">
      <c r="A106" s="91"/>
      <c r="B106" s="74"/>
      <c r="C106" s="74"/>
      <c r="D106" s="74"/>
      <c r="E106" s="74"/>
      <c r="F106" s="74"/>
      <c r="G106" s="74"/>
      <c r="H106" s="74"/>
      <c r="I106" s="74"/>
      <c r="J106" s="95"/>
    </row>
    <row r="107" spans="1:10" ht="13" x14ac:dyDescent="0.3">
      <c r="A107" s="91"/>
      <c r="B107" s="74">
        <v>24</v>
      </c>
      <c r="C107" s="74" t="str">
        <f>'Unit tariffs'!B$111</f>
        <v>km-truck with platform</v>
      </c>
      <c r="D107" s="74"/>
      <c r="E107" s="74"/>
      <c r="F107" s="74"/>
      <c r="G107" s="74"/>
      <c r="H107" s="76">
        <v>1190.6328325523293</v>
      </c>
      <c r="I107" s="76">
        <f>VLOOKUP($C107,'Unit tariffs'!$B$21:$F$123,5,FALSE)*$B107</f>
        <v>1182.7997218118533</v>
      </c>
      <c r="J107" s="105"/>
    </row>
    <row r="108" spans="1:10" ht="13" x14ac:dyDescent="0.3">
      <c r="A108" s="91"/>
      <c r="B108" s="74">
        <v>1</v>
      </c>
      <c r="C108" s="74" t="str">
        <f>'Unit tariffs'!B$112</f>
        <v>hour-truck with platform</v>
      </c>
      <c r="D108" s="74"/>
      <c r="E108" s="74"/>
      <c r="F108" s="74"/>
      <c r="G108" s="74"/>
      <c r="H108" s="76">
        <v>241.43148553267841</v>
      </c>
      <c r="I108" s="76">
        <f>VLOOKUP($C108,'Unit tariffs'!$B$21:$F$123,5,FALSE)*$B108</f>
        <v>239.8431204962792</v>
      </c>
      <c r="J108" s="105"/>
    </row>
    <row r="109" spans="1:10" ht="13" x14ac:dyDescent="0.3">
      <c r="A109" s="91"/>
      <c r="B109" s="74"/>
      <c r="C109" s="74"/>
      <c r="D109" s="74"/>
      <c r="E109" s="74"/>
      <c r="F109" s="74"/>
      <c r="G109" s="74"/>
      <c r="H109" s="137">
        <v>1432.0643180850077</v>
      </c>
      <c r="I109" s="137">
        <f>SUM(I107:I108)</f>
        <v>1422.6428423081325</v>
      </c>
      <c r="J109" s="105"/>
    </row>
    <row r="110" spans="1:10" ht="13" x14ac:dyDescent="0.3">
      <c r="A110" s="91"/>
      <c r="J110" s="105"/>
    </row>
    <row r="111" spans="1:10" ht="13" x14ac:dyDescent="0.3">
      <c r="A111" s="91"/>
      <c r="J111" s="105"/>
    </row>
    <row r="112" spans="1:10" ht="13" x14ac:dyDescent="0.3">
      <c r="A112" s="91"/>
      <c r="B112" s="104" t="str">
        <f>'Unit tariffs'!$B$7</f>
        <v>Administration Levy (Indirect Cost)</v>
      </c>
      <c r="C112" s="74"/>
      <c r="D112" s="106">
        <f>'Unit tariffs'!$C$7</f>
        <v>0.1</v>
      </c>
      <c r="E112" s="74" t="s">
        <v>311</v>
      </c>
      <c r="F112" s="186">
        <f>+'Unit tariffs'!$F$7</f>
        <v>10000</v>
      </c>
      <c r="G112" s="76"/>
      <c r="H112" s="76">
        <v>12507.113471678853</v>
      </c>
      <c r="I112" s="76">
        <f>I109+I104+I98</f>
        <v>12425.876597281975</v>
      </c>
      <c r="J112" s="105"/>
    </row>
    <row r="113" spans="1:10" ht="13.5" thickBot="1" x14ac:dyDescent="0.35">
      <c r="A113" s="91"/>
      <c r="G113" s="76"/>
      <c r="H113" s="108">
        <v>1250.7113471678854</v>
      </c>
      <c r="I113" s="108">
        <f>IF(I112*$D112&gt;='Unit tariffs'!$E$7,'Unit tariffs'!$E$7,I112*$D112)</f>
        <v>1242.5876597281977</v>
      </c>
      <c r="J113" s="105"/>
    </row>
    <row r="114" spans="1:10" ht="13.5" thickTop="1" x14ac:dyDescent="0.3">
      <c r="A114" s="91"/>
      <c r="B114" s="104" t="s">
        <v>44</v>
      </c>
      <c r="C114" s="74"/>
      <c r="D114" s="74"/>
      <c r="E114" s="74"/>
      <c r="F114" s="74"/>
      <c r="G114" s="76"/>
      <c r="H114" s="109">
        <v>13757.824818846739</v>
      </c>
      <c r="I114" s="109">
        <f>SUM(I112:I113)</f>
        <v>13668.464257010171</v>
      </c>
      <c r="J114" s="110"/>
    </row>
    <row r="115" spans="1:10" ht="13" x14ac:dyDescent="0.3">
      <c r="A115" s="91"/>
      <c r="B115" s="104"/>
      <c r="C115" s="74"/>
      <c r="D115" s="74"/>
      <c r="E115" s="74"/>
      <c r="F115" s="74"/>
      <c r="G115" s="76"/>
      <c r="H115" s="76"/>
      <c r="I115" s="76"/>
      <c r="J115" s="110"/>
    </row>
    <row r="116" spans="1:10" ht="13" x14ac:dyDescent="0.3">
      <c r="A116" s="91"/>
      <c r="B116" s="104" t="s">
        <v>45</v>
      </c>
      <c r="C116" s="74"/>
      <c r="D116" s="74"/>
      <c r="E116" s="74"/>
      <c r="F116" s="74"/>
      <c r="G116" s="74"/>
      <c r="H116" s="84">
        <v>13760</v>
      </c>
      <c r="I116" s="84">
        <f>ROUND(I114,-1)</f>
        <v>13670</v>
      </c>
      <c r="J116" s="110"/>
    </row>
    <row r="117" spans="1:10" ht="13" x14ac:dyDescent="0.3">
      <c r="A117" s="91"/>
      <c r="B117" s="104"/>
      <c r="C117" s="74"/>
      <c r="D117" s="74"/>
      <c r="E117" s="74"/>
      <c r="F117" s="74"/>
      <c r="G117" s="74"/>
      <c r="H117" s="84"/>
      <c r="I117" s="84"/>
      <c r="J117" s="110"/>
    </row>
    <row r="118" spans="1:10" ht="13.5" thickBot="1" x14ac:dyDescent="0.35">
      <c r="A118" s="91"/>
      <c r="B118" s="74"/>
      <c r="C118" s="74"/>
      <c r="D118" s="74"/>
      <c r="E118" s="74"/>
      <c r="F118" s="74"/>
      <c r="G118" s="74"/>
      <c r="H118" s="112">
        <v>0.38989898989898991</v>
      </c>
      <c r="I118" s="112">
        <f>(+I116-H116)/H116</f>
        <v>-6.540697674418605E-3</v>
      </c>
      <c r="J118" s="95"/>
    </row>
    <row r="119" spans="1:10" ht="13.5" thickTop="1" x14ac:dyDescent="0.3">
      <c r="A119" s="445"/>
      <c r="B119" s="120" t="s">
        <v>1</v>
      </c>
      <c r="C119" s="120"/>
      <c r="D119" s="120"/>
      <c r="E119" s="120"/>
      <c r="F119" s="120"/>
      <c r="G119" s="120"/>
      <c r="H119" s="120"/>
      <c r="I119" s="120"/>
      <c r="J119" s="446"/>
    </row>
    <row r="120" spans="1:10" ht="27" customHeight="1" x14ac:dyDescent="0.3">
      <c r="A120" s="91"/>
      <c r="B120" s="92" t="s">
        <v>461</v>
      </c>
      <c r="C120" s="770"/>
      <c r="D120" s="770"/>
      <c r="E120" s="770"/>
      <c r="F120" s="770"/>
      <c r="G120" s="771"/>
      <c r="H120" s="808" t="s">
        <v>239</v>
      </c>
      <c r="I120" s="808" t="s">
        <v>239</v>
      </c>
      <c r="J120" s="95"/>
    </row>
    <row r="121" spans="1:10" ht="13.5" customHeight="1" x14ac:dyDescent="0.3">
      <c r="A121" s="91"/>
      <c r="B121" s="124"/>
      <c r="C121" s="965"/>
      <c r="D121" s="965"/>
      <c r="E121" s="965"/>
      <c r="F121" s="965"/>
      <c r="G121" s="965"/>
      <c r="H121" s="809"/>
      <c r="I121" s="809"/>
      <c r="J121" s="95"/>
    </row>
    <row r="122" spans="1:10" ht="13.5" customHeight="1" x14ac:dyDescent="0.3">
      <c r="A122" s="91"/>
      <c r="B122" s="124"/>
      <c r="C122" s="124"/>
      <c r="D122" s="124"/>
      <c r="E122" s="124"/>
      <c r="F122" s="124"/>
      <c r="G122" s="124"/>
      <c r="H122" s="74"/>
      <c r="I122" s="74"/>
      <c r="J122" s="95"/>
    </row>
    <row r="123" spans="1:10" ht="13" x14ac:dyDescent="0.3">
      <c r="A123" s="91"/>
      <c r="B123" s="74"/>
      <c r="C123" s="74"/>
      <c r="D123" s="74"/>
      <c r="E123" s="74"/>
      <c r="F123" s="74"/>
      <c r="G123" s="74"/>
      <c r="H123" s="103" t="str">
        <f>+'Unit tariffs'!$E$11</f>
        <v>2025/2026</v>
      </c>
      <c r="I123" s="103" t="str">
        <f>+'Unit tariffs'!$F$11</f>
        <v>2026/2027</v>
      </c>
      <c r="J123" s="444" t="s">
        <v>313</v>
      </c>
    </row>
    <row r="124" spans="1:10" ht="13" x14ac:dyDescent="0.3">
      <c r="A124" s="91"/>
      <c r="B124" s="104" t="s">
        <v>41</v>
      </c>
      <c r="C124" s="74"/>
      <c r="D124" s="74"/>
      <c r="E124" s="74"/>
      <c r="F124" s="74"/>
      <c r="G124" s="74"/>
      <c r="H124" s="74"/>
      <c r="I124" s="74"/>
      <c r="J124" s="95"/>
    </row>
    <row r="125" spans="1:10" ht="13" x14ac:dyDescent="0.3">
      <c r="A125" s="91"/>
      <c r="B125" s="74"/>
      <c r="C125" s="74"/>
      <c r="D125" s="74"/>
      <c r="E125" s="74"/>
      <c r="F125" s="74"/>
      <c r="G125" s="74"/>
      <c r="H125" s="74"/>
      <c r="I125" s="74"/>
      <c r="J125" s="95"/>
    </row>
    <row r="126" spans="1:10" ht="13" x14ac:dyDescent="0.3">
      <c r="A126" s="91"/>
      <c r="B126" s="74">
        <v>0.5</v>
      </c>
      <c r="C126" s="74" t="str">
        <f>'Unit tariffs'!B27</f>
        <v>Two way domestic meter box</v>
      </c>
      <c r="D126" s="74"/>
      <c r="E126" s="74"/>
      <c r="F126" s="74"/>
      <c r="G126" s="74"/>
      <c r="H126" s="76">
        <v>3610.0446424000002</v>
      </c>
      <c r="I126" s="76">
        <f>VLOOKUP($C126,'Unit tariffs'!$B$21:$F$123,5,FALSE)*$B126</f>
        <v>3586.2943486999998</v>
      </c>
      <c r="J126" s="457" t="e">
        <f>IF(+I126*'Unit tariffs'!#REF!&gt;'Unit tariffs'!#REF!,'Unit tariffs'!#REF!,+I126*'Unit tariffs'!#REF!)</f>
        <v>#REF!</v>
      </c>
    </row>
    <row r="127" spans="1:10" ht="13" x14ac:dyDescent="0.3">
      <c r="A127" s="91"/>
      <c r="B127" s="74">
        <v>12</v>
      </c>
      <c r="C127" s="3" t="str">
        <f>'Unit tariffs'!B56</f>
        <v>m 16 mm x 4 Cu cable</v>
      </c>
      <c r="D127" s="74"/>
      <c r="E127" s="74"/>
      <c r="F127" s="74"/>
      <c r="G127" s="74"/>
      <c r="H127" s="76">
        <v>5011.9098623999998</v>
      </c>
      <c r="I127" s="76">
        <f>VLOOKUP($C127,'Unit tariffs'!$B$21:$F$123,5,FALSE)*$B127</f>
        <v>4978.9367711999994</v>
      </c>
      <c r="J127" s="457" t="e">
        <f>IF(+I127*'Unit tariffs'!#REF!&gt;'Unit tariffs'!#REF!,'Unit tariffs'!#REF!,+I127*'Unit tariffs'!#REF!)</f>
        <v>#REF!</v>
      </c>
    </row>
    <row r="128" spans="1:10" ht="13" x14ac:dyDescent="0.3">
      <c r="A128" s="91"/>
      <c r="B128" s="74">
        <v>1</v>
      </c>
      <c r="C128" s="74" t="str">
        <f>'Unit tariffs'!B34</f>
        <v>METER:S/P WIRED PRE-PAID</v>
      </c>
      <c r="D128" s="74"/>
      <c r="E128" s="74"/>
      <c r="F128" s="74"/>
      <c r="G128" s="74"/>
      <c r="H128" s="76">
        <v>2156.5407359999999</v>
      </c>
      <c r="I128" s="76">
        <f>VLOOKUP($C128,'Unit tariffs'!$B$21:$F$123,5,FALSE)*$B128</f>
        <v>2142.3529679999997</v>
      </c>
      <c r="J128" s="457" t="e">
        <f>IF(+I128*'Unit tariffs'!#REF!&gt;'Unit tariffs'!#REF!,'Unit tariffs'!#REF!,+I128*'Unit tariffs'!#REF!)</f>
        <v>#REF!</v>
      </c>
    </row>
    <row r="129" spans="1:10" ht="13" x14ac:dyDescent="0.3">
      <c r="A129" s="91"/>
      <c r="B129" s="74">
        <v>1</v>
      </c>
      <c r="C129" s="74" t="str">
        <f>'Unit tariffs'!B21</f>
        <v>Installation material</v>
      </c>
      <c r="D129" s="74"/>
      <c r="E129" s="74"/>
      <c r="F129" s="74"/>
      <c r="G129" s="74"/>
      <c r="H129" s="76">
        <v>284.35400000000004</v>
      </c>
      <c r="I129" s="76">
        <f>VLOOKUP($C129,'Unit tariffs'!$B$21:$F$123,5,FALSE)*$B129</f>
        <v>282.48325</v>
      </c>
      <c r="J129" s="457" t="e">
        <f>IF(+I129*'Unit tariffs'!#REF!&gt;'Unit tariffs'!#REF!,'Unit tariffs'!#REF!,+I129*'Unit tariffs'!#REF!)</f>
        <v>#REF!</v>
      </c>
    </row>
    <row r="130" spans="1:10" ht="13" x14ac:dyDescent="0.3">
      <c r="A130" s="91"/>
      <c r="B130" s="74">
        <v>1</v>
      </c>
      <c r="C130" s="74" t="str">
        <f>'Unit tariffs'!B43</f>
        <v>x 80 A circuit breaker (5kA) - Orange</v>
      </c>
      <c r="D130" s="74"/>
      <c r="E130" s="74"/>
      <c r="F130" s="74"/>
      <c r="G130" s="74"/>
      <c r="H130" s="76">
        <v>0</v>
      </c>
      <c r="I130" s="76">
        <f>VLOOKUP($C130,'Unit tariffs'!$B$21:$F$123,5,FALSE)*$B130</f>
        <v>0</v>
      </c>
      <c r="J130" s="457"/>
    </row>
    <row r="131" spans="1:10" ht="13" x14ac:dyDescent="0.3">
      <c r="A131" s="91"/>
      <c r="B131" s="74">
        <v>0.5</v>
      </c>
      <c r="C131" s="74" t="str">
        <f>'Unit tariffs'!B25</f>
        <v>Cement base for meter box</v>
      </c>
      <c r="D131" s="74"/>
      <c r="E131" s="74"/>
      <c r="F131" s="74"/>
      <c r="G131" s="74"/>
      <c r="H131" s="81">
        <v>1128.5441552000002</v>
      </c>
      <c r="I131" s="81">
        <f>VLOOKUP($C131,'Unit tariffs'!$B$21:$F$123,5,FALSE)*$B131</f>
        <v>1121.1195226</v>
      </c>
      <c r="J131" s="457"/>
    </row>
    <row r="132" spans="1:10" ht="13" x14ac:dyDescent="0.3">
      <c r="A132" s="91"/>
      <c r="B132" s="74"/>
      <c r="C132" s="74"/>
      <c r="D132" s="74"/>
      <c r="E132" s="74"/>
      <c r="F132" s="74"/>
      <c r="G132" s="74"/>
      <c r="H132" s="76">
        <v>12191.393395999999</v>
      </c>
      <c r="I132" s="76">
        <f>SUM(I126:I131)</f>
        <v>12111.186860499998</v>
      </c>
      <c r="J132" s="457"/>
    </row>
    <row r="133" spans="1:10" ht="13" x14ac:dyDescent="0.3">
      <c r="A133" s="91"/>
      <c r="B133" s="74"/>
      <c r="C133" s="74"/>
      <c r="D133" s="74"/>
      <c r="E133" s="74"/>
      <c r="F133" s="74"/>
      <c r="G133" s="76"/>
      <c r="H133" s="76"/>
      <c r="I133" s="76"/>
      <c r="J133" s="105"/>
    </row>
    <row r="134" spans="1:10" ht="13" x14ac:dyDescent="0.3">
      <c r="A134" s="91"/>
      <c r="B134" s="104" t="s">
        <v>42</v>
      </c>
      <c r="C134" s="74"/>
      <c r="D134" s="74"/>
      <c r="E134" s="74"/>
      <c r="F134" s="74"/>
      <c r="G134" s="74"/>
      <c r="H134" s="74"/>
      <c r="I134" s="74"/>
      <c r="J134" s="95"/>
    </row>
    <row r="135" spans="1:10" ht="13" x14ac:dyDescent="0.3">
      <c r="A135" s="91"/>
      <c r="B135" s="74"/>
      <c r="C135" s="74"/>
      <c r="D135" s="74"/>
      <c r="E135" s="74"/>
      <c r="F135" s="74"/>
      <c r="G135" s="74"/>
      <c r="H135" s="76"/>
      <c r="I135" s="76"/>
      <c r="J135" s="95"/>
    </row>
    <row r="136" spans="1:10" ht="13" x14ac:dyDescent="0.3">
      <c r="A136" s="91"/>
      <c r="B136" s="74">
        <v>0.23</v>
      </c>
      <c r="C136" s="74" t="str">
        <f>'Unit tariffs'!B$87</f>
        <v xml:space="preserve">hour-artisan </v>
      </c>
      <c r="D136" s="74"/>
      <c r="E136" s="74"/>
      <c r="F136" s="74"/>
      <c r="G136" s="74"/>
      <c r="H136" s="76">
        <v>80.774336215384636</v>
      </c>
      <c r="I136" s="76">
        <f>VLOOKUP($C136,'Unit tariffs'!$B$21:$F$123,5,FALSE)*$B136</f>
        <v>80.774336215384636</v>
      </c>
      <c r="J136" s="105"/>
    </row>
    <row r="137" spans="1:10" ht="13" x14ac:dyDescent="0.3">
      <c r="A137" s="74"/>
      <c r="B137" s="74">
        <v>1.05</v>
      </c>
      <c r="C137" s="74" t="str">
        <f>'Unit tariffs'!B$85</f>
        <v>hour-artisan assistant</v>
      </c>
      <c r="D137" s="74"/>
      <c r="E137" s="74"/>
      <c r="F137" s="74"/>
      <c r="G137" s="74"/>
      <c r="H137" s="76">
        <v>146.81547138461542</v>
      </c>
      <c r="I137" s="76">
        <f>VLOOKUP($C137,'Unit tariffs'!$B$21:$F$123,5,FALSE)*$B137</f>
        <v>146.81547138461542</v>
      </c>
      <c r="J137" s="76"/>
    </row>
    <row r="138" spans="1:10" ht="13" x14ac:dyDescent="0.3">
      <c r="A138" s="91"/>
      <c r="B138" s="74">
        <v>0.03</v>
      </c>
      <c r="C138" s="74" t="str">
        <f>'Unit tariffs'!B86</f>
        <v>hour-meter assistant</v>
      </c>
      <c r="D138" s="74"/>
      <c r="E138" s="74"/>
      <c r="F138" s="74"/>
      <c r="G138" s="74"/>
      <c r="H138" s="81">
        <v>4.1947277538461538</v>
      </c>
      <c r="I138" s="81">
        <f>VLOOKUP($C138,'Unit tariffs'!$B$21:$F$123,5,FALSE)*$B138</f>
        <v>4.1947277538461538</v>
      </c>
      <c r="J138" s="105"/>
    </row>
    <row r="139" spans="1:10" ht="13" x14ac:dyDescent="0.3">
      <c r="A139" s="91"/>
      <c r="B139" s="74"/>
      <c r="C139" s="74"/>
      <c r="D139" s="74"/>
      <c r="E139" s="74"/>
      <c r="F139" s="74"/>
      <c r="G139" s="74"/>
      <c r="H139" s="76">
        <v>227.58980760000006</v>
      </c>
      <c r="I139" s="76">
        <f>SUM(I136:I137)</f>
        <v>227.58980760000006</v>
      </c>
      <c r="J139" s="105"/>
    </row>
    <row r="140" spans="1:10" ht="13" x14ac:dyDescent="0.3">
      <c r="A140" s="91"/>
      <c r="B140" s="104" t="s">
        <v>43</v>
      </c>
      <c r="C140" s="74"/>
      <c r="D140" s="74"/>
      <c r="E140" s="74"/>
      <c r="F140" s="74"/>
      <c r="G140" s="74"/>
      <c r="H140" s="74"/>
      <c r="I140" s="74"/>
      <c r="J140" s="95"/>
    </row>
    <row r="141" spans="1:10" ht="13" x14ac:dyDescent="0.3">
      <c r="A141" s="91"/>
      <c r="B141" s="74"/>
      <c r="C141" s="74"/>
      <c r="D141" s="74"/>
      <c r="E141" s="74"/>
      <c r="F141" s="74"/>
      <c r="G141" s="74"/>
      <c r="H141" s="74"/>
      <c r="I141" s="74"/>
      <c r="J141" s="95"/>
    </row>
    <row r="142" spans="1:10" ht="13" x14ac:dyDescent="0.3">
      <c r="A142" s="91"/>
      <c r="B142" s="74">
        <v>24</v>
      </c>
      <c r="C142" s="74" t="str">
        <f>'Unit tariffs'!B$111</f>
        <v>km-truck with platform</v>
      </c>
      <c r="D142" s="74"/>
      <c r="E142" s="74"/>
      <c r="F142" s="74"/>
      <c r="G142" s="74"/>
      <c r="H142" s="76">
        <v>1190.6328325523293</v>
      </c>
      <c r="I142" s="76">
        <f>VLOOKUP($C142,'Unit tariffs'!$B$21:$F$123,5,FALSE)*$B142</f>
        <v>1182.7997218118533</v>
      </c>
      <c r="J142" s="105"/>
    </row>
    <row r="143" spans="1:10" ht="13" x14ac:dyDescent="0.3">
      <c r="A143" s="91"/>
      <c r="B143" s="74">
        <v>1</v>
      </c>
      <c r="C143" s="74" t="str">
        <f>'Unit tariffs'!B$112</f>
        <v>hour-truck with platform</v>
      </c>
      <c r="D143" s="74"/>
      <c r="E143" s="74"/>
      <c r="F143" s="74"/>
      <c r="G143" s="74"/>
      <c r="H143" s="76">
        <v>241.43148553267841</v>
      </c>
      <c r="I143" s="76">
        <f>VLOOKUP($C143,'Unit tariffs'!$B$21:$F$123,5,FALSE)*$B143</f>
        <v>239.8431204962792</v>
      </c>
      <c r="J143" s="105"/>
    </row>
    <row r="144" spans="1:10" ht="13" x14ac:dyDescent="0.3">
      <c r="A144" s="91"/>
      <c r="B144" s="74"/>
      <c r="C144" s="74"/>
      <c r="D144" s="74"/>
      <c r="E144" s="74"/>
      <c r="F144" s="74"/>
      <c r="G144" s="74"/>
      <c r="H144" s="137">
        <v>1432.0643180850077</v>
      </c>
      <c r="I144" s="137">
        <f>SUM(I142:I143)</f>
        <v>1422.6428423081325</v>
      </c>
      <c r="J144" s="105"/>
    </row>
    <row r="145" spans="1:10" ht="13" x14ac:dyDescent="0.3">
      <c r="A145" s="91"/>
      <c r="J145" s="105"/>
    </row>
    <row r="146" spans="1:10" ht="13" x14ac:dyDescent="0.3">
      <c r="A146" s="91"/>
      <c r="B146" s="104" t="str">
        <f>'Unit tariffs'!$B$7</f>
        <v>Administration Levy (Indirect Cost)</v>
      </c>
      <c r="C146" s="74"/>
      <c r="D146" s="106">
        <f>'Unit tariffs'!$C$7</f>
        <v>0.1</v>
      </c>
      <c r="E146" s="74" t="s">
        <v>311</v>
      </c>
      <c r="F146" s="186">
        <f>+'Unit tariffs'!$F$7</f>
        <v>10000</v>
      </c>
      <c r="G146" s="76"/>
      <c r="H146" s="76">
        <v>13851.047521685006</v>
      </c>
      <c r="I146" s="76">
        <f>I144+I139+I132</f>
        <v>13761.41951040813</v>
      </c>
      <c r="J146" s="105"/>
    </row>
    <row r="147" spans="1:10" ht="13.5" thickBot="1" x14ac:dyDescent="0.35">
      <c r="A147" s="91"/>
      <c r="G147" s="76"/>
      <c r="H147" s="108">
        <v>1385.1047521685007</v>
      </c>
      <c r="I147" s="108">
        <f>IF(I146*$D146&gt;='Unit tariffs'!$E$7,'Unit tariffs'!$E$7,I146*$D146)</f>
        <v>1376.1419510408132</v>
      </c>
      <c r="J147" s="105"/>
    </row>
    <row r="148" spans="1:10" ht="13.5" thickTop="1" x14ac:dyDescent="0.3">
      <c r="A148" s="91"/>
      <c r="B148" s="104" t="s">
        <v>44</v>
      </c>
      <c r="C148" s="74"/>
      <c r="D148" s="74"/>
      <c r="E148" s="74"/>
      <c r="F148" s="74"/>
      <c r="G148" s="76"/>
      <c r="H148" s="109">
        <v>15236.152273853508</v>
      </c>
      <c r="I148" s="109">
        <f>SUM(I146:I147)</f>
        <v>15137.561461448942</v>
      </c>
      <c r="J148" s="105"/>
    </row>
    <row r="149" spans="1:10" ht="13" x14ac:dyDescent="0.3">
      <c r="A149" s="91"/>
      <c r="B149" s="104"/>
      <c r="C149" s="74"/>
      <c r="D149" s="74"/>
      <c r="E149" s="74"/>
      <c r="F149" s="74"/>
      <c r="G149" s="76"/>
      <c r="H149" s="76"/>
      <c r="I149" s="76"/>
      <c r="J149" s="110"/>
    </row>
    <row r="150" spans="1:10" ht="13" x14ac:dyDescent="0.3">
      <c r="A150" s="91"/>
      <c r="B150" s="104" t="s">
        <v>45</v>
      </c>
      <c r="C150" s="74"/>
      <c r="D150" s="74"/>
      <c r="E150" s="74"/>
      <c r="F150" s="74"/>
      <c r="G150" s="74"/>
      <c r="H150" s="84">
        <v>15240</v>
      </c>
      <c r="I150" s="84">
        <f>ROUND(I148,-1)</f>
        <v>15140</v>
      </c>
      <c r="J150" s="105"/>
    </row>
    <row r="151" spans="1:10" ht="13" x14ac:dyDescent="0.3">
      <c r="A151" s="91"/>
      <c r="B151" s="74"/>
      <c r="C151" s="74"/>
      <c r="D151" s="74"/>
      <c r="E151" s="74"/>
      <c r="F151" s="74"/>
      <c r="G151" s="74"/>
      <c r="H151" s="76"/>
      <c r="I151" s="76"/>
      <c r="J151" s="113"/>
    </row>
    <row r="152" spans="1:10" ht="13.5" thickBot="1" x14ac:dyDescent="0.35">
      <c r="A152" s="74"/>
      <c r="B152" s="74"/>
      <c r="C152" s="74"/>
      <c r="D152" s="74"/>
      <c r="E152" s="74"/>
      <c r="F152" s="74"/>
      <c r="G152" s="74"/>
      <c r="H152" s="112">
        <v>0.10434782608695652</v>
      </c>
      <c r="I152" s="112">
        <f>(+I150-H150)/H150</f>
        <v>-6.5616797900262466E-3</v>
      </c>
      <c r="J152" s="449"/>
    </row>
    <row r="153" spans="1:10" ht="14" thickTop="1" thickBot="1" x14ac:dyDescent="0.35">
      <c r="A153" s="91"/>
      <c r="B153" s="74"/>
      <c r="C153" s="74"/>
      <c r="D153" s="74"/>
      <c r="E153" s="74"/>
      <c r="F153" s="74"/>
      <c r="G153" s="74"/>
      <c r="H153" s="74"/>
      <c r="I153" s="74"/>
      <c r="J153" s="95"/>
    </row>
    <row r="154" spans="1:10" ht="13.5" thickTop="1" x14ac:dyDescent="0.3">
      <c r="A154" s="445"/>
      <c r="B154" s="120" t="s">
        <v>1</v>
      </c>
      <c r="C154" s="120"/>
      <c r="D154" s="120"/>
      <c r="E154" s="120"/>
      <c r="F154" s="120"/>
      <c r="G154" s="120"/>
      <c r="H154" s="120"/>
      <c r="I154" s="120"/>
      <c r="J154" s="446"/>
    </row>
    <row r="155" spans="1:10" ht="40.5" customHeight="1" x14ac:dyDescent="0.3">
      <c r="A155" s="91"/>
      <c r="B155" s="92" t="s">
        <v>659</v>
      </c>
      <c r="C155" s="770"/>
      <c r="D155" s="770"/>
      <c r="E155" s="770"/>
      <c r="F155" s="770"/>
      <c r="G155" s="771"/>
      <c r="H155" s="808" t="s">
        <v>239</v>
      </c>
      <c r="I155" s="808" t="s">
        <v>239</v>
      </c>
      <c r="J155" s="95"/>
    </row>
    <row r="156" spans="1:10" ht="15" customHeight="1" x14ac:dyDescent="0.3">
      <c r="A156" s="91"/>
      <c r="B156" s="125"/>
      <c r="C156" s="126"/>
      <c r="D156" s="126"/>
      <c r="E156" s="126"/>
      <c r="F156" s="126"/>
      <c r="G156" s="126"/>
      <c r="H156" s="809"/>
      <c r="I156" s="809"/>
      <c r="J156" s="95"/>
    </row>
    <row r="157" spans="1:10" ht="26.4" customHeight="1" x14ac:dyDescent="0.3">
      <c r="A157" s="91"/>
      <c r="B157" s="931" t="s">
        <v>512</v>
      </c>
      <c r="C157" s="932"/>
      <c r="D157" s="932"/>
      <c r="E157" s="932"/>
      <c r="F157" s="932"/>
      <c r="G157" s="933"/>
      <c r="H157" s="808" t="s">
        <v>239</v>
      </c>
      <c r="I157" s="808" t="s">
        <v>239</v>
      </c>
      <c r="J157" s="95"/>
    </row>
    <row r="158" spans="1:10" ht="13" x14ac:dyDescent="0.3">
      <c r="A158" s="91"/>
      <c r="B158" s="74" t="s">
        <v>1</v>
      </c>
      <c r="C158" s="74"/>
      <c r="D158" s="74"/>
      <c r="E158" s="74"/>
      <c r="F158" s="74"/>
      <c r="G158" s="74"/>
      <c r="H158" s="809"/>
      <c r="I158" s="809"/>
      <c r="J158" s="95"/>
    </row>
    <row r="159" spans="1:10" ht="13" x14ac:dyDescent="0.3">
      <c r="A159" s="91"/>
      <c r="B159" s="74"/>
      <c r="C159" s="74"/>
      <c r="D159" s="74"/>
      <c r="E159" s="74"/>
      <c r="F159" s="74"/>
      <c r="G159" s="74"/>
      <c r="H159" s="128"/>
      <c r="I159" s="128"/>
      <c r="J159" s="95"/>
    </row>
    <row r="160" spans="1:10" ht="13" x14ac:dyDescent="0.3">
      <c r="A160" s="91"/>
      <c r="B160" s="74" t="s">
        <v>1</v>
      </c>
      <c r="C160" s="74"/>
      <c r="D160" s="74"/>
      <c r="E160" s="74"/>
      <c r="F160" s="74"/>
      <c r="G160" s="74"/>
      <c r="H160" s="74"/>
      <c r="I160" s="74"/>
      <c r="J160" s="95"/>
    </row>
    <row r="161" spans="1:10" ht="13" x14ac:dyDescent="0.3">
      <c r="A161" s="91"/>
      <c r="B161" s="74"/>
      <c r="C161" s="74"/>
      <c r="D161" s="74"/>
      <c r="E161" s="74"/>
      <c r="F161" s="74"/>
      <c r="G161" s="74"/>
      <c r="H161" s="103" t="str">
        <f>+'Unit tariffs'!$E$11</f>
        <v>2025/2026</v>
      </c>
      <c r="I161" s="103" t="str">
        <f>+'Unit tariffs'!$F$11</f>
        <v>2026/2027</v>
      </c>
      <c r="J161" s="444" t="s">
        <v>313</v>
      </c>
    </row>
    <row r="162" spans="1:10" ht="13" x14ac:dyDescent="0.3">
      <c r="A162" s="91"/>
      <c r="B162" s="104" t="s">
        <v>41</v>
      </c>
      <c r="C162" s="74"/>
      <c r="D162" s="74"/>
      <c r="E162" s="74"/>
      <c r="F162" s="74"/>
      <c r="G162" s="74"/>
      <c r="H162" s="74"/>
      <c r="I162" s="74"/>
      <c r="J162" s="95"/>
    </row>
    <row r="163" spans="1:10" ht="13" x14ac:dyDescent="0.3">
      <c r="A163" s="91"/>
      <c r="B163" s="74"/>
      <c r="C163" s="74"/>
      <c r="D163" s="74"/>
      <c r="E163" s="74"/>
      <c r="F163" s="74"/>
      <c r="G163" s="74"/>
      <c r="H163" s="74"/>
      <c r="I163" s="74"/>
      <c r="J163" s="95"/>
    </row>
    <row r="164" spans="1:10" ht="13" x14ac:dyDescent="0.3">
      <c r="A164" s="91"/>
      <c r="B164" s="74">
        <v>1</v>
      </c>
      <c r="C164" s="74" t="str">
        <f>+'Unit tariffs'!B32</f>
        <v>TOU kWh meter - 80- 120Amp 220/240V</v>
      </c>
      <c r="D164" s="74"/>
      <c r="E164" s="74"/>
      <c r="F164" s="74"/>
      <c r="G164" s="74"/>
      <c r="H164" s="76">
        <v>5436.8484799999997</v>
      </c>
      <c r="I164" s="76">
        <f>VLOOKUP($C164,'Unit tariffs'!$B$21:$F$123,5,FALSE)*$B164</f>
        <v>5401.0797399999992</v>
      </c>
      <c r="J164" s="457" t="e">
        <f>IF(+I164*'Unit tariffs'!#REF!&gt;'Unit tariffs'!#REF!,'Unit tariffs'!#REF!,+I164*'Unit tariffs'!#REF!)</f>
        <v>#REF!</v>
      </c>
    </row>
    <row r="165" spans="1:10" ht="13" x14ac:dyDescent="0.3">
      <c r="A165" s="91"/>
      <c r="B165" s="74">
        <v>1</v>
      </c>
      <c r="C165" s="74" t="str">
        <f>'Unit tariffs'!B43</f>
        <v>x 80 A circuit breaker (5kA) - Orange</v>
      </c>
      <c r="D165" s="74"/>
      <c r="E165" s="74"/>
      <c r="F165" s="74"/>
      <c r="G165" s="74"/>
      <c r="H165" s="76">
        <v>0</v>
      </c>
      <c r="I165" s="76">
        <f>VLOOKUP($C165,'Unit tariffs'!$B$21:$F$123,5,FALSE)*$B165</f>
        <v>0</v>
      </c>
      <c r="J165" s="457" t="e">
        <f>IF(+I165*'Unit tariffs'!#REF!&gt;'Unit tariffs'!#REF!,'Unit tariffs'!#REF!,+I165*'Unit tariffs'!#REF!)</f>
        <v>#REF!</v>
      </c>
    </row>
    <row r="166" spans="1:10" ht="13" x14ac:dyDescent="0.3">
      <c r="A166" s="91"/>
      <c r="B166" s="74">
        <v>1</v>
      </c>
      <c r="C166" s="74" t="s">
        <v>17</v>
      </c>
      <c r="D166" s="74"/>
      <c r="E166" s="74"/>
      <c r="F166" s="74"/>
      <c r="G166" s="74"/>
      <c r="H166" s="81">
        <v>284.35400000000004</v>
      </c>
      <c r="I166" s="81">
        <f>VLOOKUP($C166,'Unit tariffs'!$B$21:$F$123,5,FALSE)*$B166</f>
        <v>282.48325</v>
      </c>
      <c r="J166" s="457" t="e">
        <f>IF(+I166*'Unit tariffs'!#REF!&gt;'Unit tariffs'!#REF!,'Unit tariffs'!#REF!,+I166*'Unit tariffs'!#REF!)</f>
        <v>#REF!</v>
      </c>
    </row>
    <row r="167" spans="1:10" ht="13" x14ac:dyDescent="0.3">
      <c r="A167" s="91"/>
      <c r="B167" s="74"/>
      <c r="C167" s="74"/>
      <c r="D167" s="74"/>
      <c r="E167" s="74"/>
      <c r="F167" s="74"/>
      <c r="G167" s="74"/>
      <c r="H167" s="76">
        <v>5721.2024799999999</v>
      </c>
      <c r="I167" s="76">
        <f>SUM(I164:I166)</f>
        <v>5683.5629899999994</v>
      </c>
      <c r="J167" s="105"/>
    </row>
    <row r="168" spans="1:10" ht="13" x14ac:dyDescent="0.3">
      <c r="A168" s="91"/>
      <c r="B168" s="104"/>
      <c r="C168" s="74"/>
      <c r="D168" s="106"/>
      <c r="E168" s="74"/>
      <c r="F168" s="186"/>
      <c r="G168" s="74"/>
      <c r="H168" s="188"/>
      <c r="I168" s="188"/>
      <c r="J168" s="105"/>
    </row>
    <row r="169" spans="1:10" ht="13" x14ac:dyDescent="0.3">
      <c r="A169" s="91"/>
      <c r="B169" s="74"/>
      <c r="C169" s="74"/>
      <c r="D169" s="74"/>
      <c r="E169" s="74"/>
      <c r="F169" s="74"/>
      <c r="G169" s="76"/>
      <c r="H169" s="76"/>
      <c r="I169" s="76"/>
      <c r="J169" s="105"/>
    </row>
    <row r="170" spans="1:10" ht="13" x14ac:dyDescent="0.3">
      <c r="A170" s="91"/>
      <c r="B170" s="104" t="s">
        <v>42</v>
      </c>
      <c r="C170" s="74"/>
      <c r="D170" s="74"/>
      <c r="E170" s="74"/>
      <c r="F170" s="74"/>
      <c r="G170" s="74"/>
      <c r="H170" s="74"/>
      <c r="I170" s="74"/>
      <c r="J170" s="95"/>
    </row>
    <row r="171" spans="1:10" ht="13" x14ac:dyDescent="0.3">
      <c r="A171" s="91"/>
      <c r="B171" s="74"/>
      <c r="C171" s="74"/>
      <c r="D171" s="74"/>
      <c r="E171" s="74"/>
      <c r="F171" s="74"/>
      <c r="G171" s="74"/>
      <c r="H171" s="74"/>
      <c r="I171" s="74"/>
      <c r="J171" s="95"/>
    </row>
    <row r="172" spans="1:10" ht="13" x14ac:dyDescent="0.3">
      <c r="A172" s="91"/>
      <c r="B172" s="74">
        <v>1</v>
      </c>
      <c r="C172" s="74" t="str">
        <f>'Unit tariffs'!B$87</f>
        <v xml:space="preserve">hour-artisan </v>
      </c>
      <c r="D172" s="74"/>
      <c r="E172" s="74"/>
      <c r="F172" s="74"/>
      <c r="G172" s="74"/>
      <c r="H172" s="76">
        <v>351.19276615384621</v>
      </c>
      <c r="I172" s="76">
        <f>VLOOKUP($C172,'Unit tariffs'!$B$21:$F$123,5,FALSE)*$B172</f>
        <v>351.19276615384621</v>
      </c>
      <c r="J172" s="105"/>
    </row>
    <row r="173" spans="1:10" ht="13" x14ac:dyDescent="0.3">
      <c r="A173" s="91"/>
      <c r="B173" s="74">
        <v>2</v>
      </c>
      <c r="C173" s="74" t="str">
        <f>'Unit tariffs'!B$85</f>
        <v>hour-artisan assistant</v>
      </c>
      <c r="D173" s="74"/>
      <c r="E173" s="74"/>
      <c r="F173" s="74"/>
      <c r="G173" s="74"/>
      <c r="H173" s="81">
        <v>279.64851692307695</v>
      </c>
      <c r="I173" s="81">
        <f>VLOOKUP($C173,'Unit tariffs'!$B$21:$F$123,5,FALSE)*$B173</f>
        <v>279.64851692307695</v>
      </c>
      <c r="J173" s="105"/>
    </row>
    <row r="174" spans="1:10" ht="13" x14ac:dyDescent="0.3">
      <c r="A174" s="91"/>
      <c r="B174" s="74"/>
      <c r="C174" s="74"/>
      <c r="D174" s="74"/>
      <c r="E174" s="74"/>
      <c r="F174" s="74"/>
      <c r="G174" s="74"/>
      <c r="H174" s="76">
        <v>630.84128307692322</v>
      </c>
      <c r="I174" s="76">
        <f>SUM(I172:I173)</f>
        <v>630.84128307692322</v>
      </c>
      <c r="J174" s="105"/>
    </row>
    <row r="175" spans="1:10" ht="13" x14ac:dyDescent="0.3">
      <c r="A175" s="91"/>
      <c r="B175" s="104" t="s">
        <v>43</v>
      </c>
      <c r="C175" s="74"/>
      <c r="D175" s="74"/>
      <c r="E175" s="74"/>
      <c r="F175" s="74"/>
      <c r="G175" s="74"/>
      <c r="H175" s="74"/>
      <c r="I175" s="74"/>
      <c r="J175" s="95"/>
    </row>
    <row r="176" spans="1:10" ht="13" x14ac:dyDescent="0.3">
      <c r="A176" s="91"/>
      <c r="B176" s="74"/>
      <c r="C176" s="74"/>
      <c r="D176" s="74"/>
      <c r="E176" s="74"/>
      <c r="F176" s="74"/>
      <c r="G176" s="74"/>
      <c r="H176" s="74"/>
      <c r="I176" s="74"/>
      <c r="J176" s="95"/>
    </row>
    <row r="177" spans="1:10" ht="13" x14ac:dyDescent="0.3">
      <c r="A177" s="91"/>
      <c r="B177" s="74">
        <v>24</v>
      </c>
      <c r="C177" s="74" t="str">
        <f>'Unit tariffs'!B$111</f>
        <v>km-truck with platform</v>
      </c>
      <c r="D177" s="74"/>
      <c r="E177" s="74"/>
      <c r="F177" s="74"/>
      <c r="G177" s="74"/>
      <c r="H177" s="76">
        <v>1190.6328325523293</v>
      </c>
      <c r="I177" s="76">
        <f>VLOOKUP($C177,'Unit tariffs'!$B$21:$F$123,5,FALSE)*$B177</f>
        <v>1182.7997218118533</v>
      </c>
      <c r="J177" s="105"/>
    </row>
    <row r="178" spans="1:10" ht="13" x14ac:dyDescent="0.3">
      <c r="A178" s="91"/>
      <c r="B178" s="74">
        <v>1</v>
      </c>
      <c r="C178" s="74" t="str">
        <f>'Unit tariffs'!B$112</f>
        <v>hour-truck with platform</v>
      </c>
      <c r="D178" s="74"/>
      <c r="E178" s="74"/>
      <c r="F178" s="74"/>
      <c r="G178" s="74"/>
      <c r="H178" s="81">
        <v>241.43148553267841</v>
      </c>
      <c r="I178" s="81">
        <f>VLOOKUP($C178,'Unit tariffs'!$B$21:$F$123,5,FALSE)*$B178</f>
        <v>239.8431204962792</v>
      </c>
      <c r="J178" s="105"/>
    </row>
    <row r="179" spans="1:10" ht="13" x14ac:dyDescent="0.3">
      <c r="A179" s="91"/>
      <c r="B179" s="74"/>
      <c r="C179" s="74"/>
      <c r="D179" s="74"/>
      <c r="E179" s="74"/>
      <c r="F179" s="74"/>
      <c r="G179" s="74"/>
      <c r="H179" s="76">
        <v>1432.0643180850077</v>
      </c>
      <c r="I179" s="76">
        <f>SUM(I177:I178)</f>
        <v>1422.6428423081325</v>
      </c>
      <c r="J179" s="105"/>
    </row>
    <row r="180" spans="1:10" ht="13" x14ac:dyDescent="0.3">
      <c r="A180" s="91"/>
      <c r="B180" s="74"/>
      <c r="C180" s="74"/>
      <c r="D180" s="74"/>
      <c r="E180" s="74"/>
      <c r="F180" s="74"/>
      <c r="G180" s="74"/>
      <c r="J180" s="105"/>
    </row>
    <row r="181" spans="1:10" ht="13" x14ac:dyDescent="0.3">
      <c r="A181" s="91"/>
      <c r="B181" s="104" t="str">
        <f>'Unit tariffs'!$B$7</f>
        <v>Administration Levy (Indirect Cost)</v>
      </c>
      <c r="C181" s="74"/>
      <c r="D181" s="106">
        <f>'Unit tariffs'!$C$7</f>
        <v>0.1</v>
      </c>
      <c r="E181" s="74" t="s">
        <v>311</v>
      </c>
      <c r="F181" s="186">
        <f>+'Unit tariffs'!$F$7</f>
        <v>10000</v>
      </c>
      <c r="G181" s="76"/>
      <c r="H181" s="76">
        <v>7784.1080811619304</v>
      </c>
      <c r="I181" s="76">
        <f>I179+I174+I167</f>
        <v>7737.0471153850549</v>
      </c>
      <c r="J181" s="105"/>
    </row>
    <row r="182" spans="1:10" ht="13.5" thickBot="1" x14ac:dyDescent="0.35">
      <c r="A182" s="91"/>
      <c r="G182" s="76"/>
      <c r="H182" s="108">
        <v>778.41080811619304</v>
      </c>
      <c r="I182" s="108">
        <f>IF(I181*$D181&gt;='Unit tariffs'!$E$7,'Unit tariffs'!$E$7,I181*$D181)</f>
        <v>773.70471153850553</v>
      </c>
      <c r="J182" s="105"/>
    </row>
    <row r="183" spans="1:10" ht="13.5" thickTop="1" x14ac:dyDescent="0.3">
      <c r="A183" s="91"/>
      <c r="B183" s="104" t="s">
        <v>44</v>
      </c>
      <c r="C183" s="74"/>
      <c r="D183" s="74"/>
      <c r="E183" s="74"/>
      <c r="F183" s="74"/>
      <c r="G183" s="76"/>
      <c r="H183" s="109">
        <v>8562.5188892781225</v>
      </c>
      <c r="I183" s="109">
        <f>SUM(I181:I182)</f>
        <v>8510.7518269235607</v>
      </c>
      <c r="J183" s="105"/>
    </row>
    <row r="184" spans="1:10" ht="13" x14ac:dyDescent="0.3">
      <c r="A184" s="91"/>
      <c r="B184" s="104"/>
      <c r="C184" s="74"/>
      <c r="D184" s="74"/>
      <c r="E184" s="74"/>
      <c r="F184" s="74"/>
      <c r="G184" s="76"/>
      <c r="H184" s="76"/>
      <c r="I184" s="76"/>
      <c r="J184" s="105"/>
    </row>
    <row r="185" spans="1:10" ht="13" x14ac:dyDescent="0.3">
      <c r="A185" s="91"/>
      <c r="B185" s="104" t="s">
        <v>45</v>
      </c>
      <c r="C185" s="74"/>
      <c r="D185" s="74"/>
      <c r="E185" s="74"/>
      <c r="F185" s="74"/>
      <c r="G185" s="74"/>
      <c r="H185" s="841">
        <v>8560</v>
      </c>
      <c r="I185" s="84">
        <f>ROUND(I183,-1)</f>
        <v>8510</v>
      </c>
      <c r="J185" s="110"/>
    </row>
    <row r="186" spans="1:10" ht="13" x14ac:dyDescent="0.3">
      <c r="A186" s="91"/>
      <c r="B186" s="74"/>
      <c r="C186" s="74"/>
      <c r="D186" s="74"/>
      <c r="E186" s="74"/>
      <c r="F186" s="74"/>
      <c r="G186" s="74"/>
      <c r="H186" s="76"/>
      <c r="I186" s="76"/>
      <c r="J186" s="105"/>
    </row>
    <row r="187" spans="1:10" ht="13.5" thickBot="1" x14ac:dyDescent="0.35">
      <c r="A187" s="91"/>
      <c r="B187" s="74"/>
      <c r="C187" s="74"/>
      <c r="D187" s="74"/>
      <c r="E187" s="74"/>
      <c r="F187" s="74"/>
      <c r="G187" s="74"/>
      <c r="H187" s="74"/>
      <c r="I187" s="74"/>
      <c r="J187" s="449"/>
    </row>
    <row r="188" spans="1:10" ht="14" thickTop="1" thickBot="1" x14ac:dyDescent="0.35">
      <c r="A188" s="123"/>
      <c r="B188" s="123"/>
      <c r="C188" s="123"/>
      <c r="D188" s="123"/>
      <c r="E188" s="123"/>
      <c r="F188" s="123"/>
      <c r="G188" s="123"/>
      <c r="H188" s="123"/>
      <c r="I188" s="123"/>
      <c r="J188" s="95"/>
    </row>
    <row r="189" spans="1:10" ht="13.5" thickTop="1" x14ac:dyDescent="0.3">
      <c r="A189" s="91"/>
      <c r="B189" s="74" t="s">
        <v>1</v>
      </c>
      <c r="C189" s="74"/>
      <c r="D189" s="74"/>
      <c r="E189" s="74"/>
      <c r="F189" s="74"/>
      <c r="G189" s="74"/>
      <c r="H189" s="74"/>
      <c r="I189" s="74"/>
      <c r="J189" s="446"/>
    </row>
    <row r="190" spans="1:10" ht="28.5" customHeight="1" x14ac:dyDescent="0.3">
      <c r="A190" s="91"/>
      <c r="B190" s="92" t="s">
        <v>463</v>
      </c>
      <c r="C190" s="824"/>
      <c r="D190" s="824"/>
      <c r="E190" s="824"/>
      <c r="F190" s="824"/>
      <c r="G190" s="825"/>
      <c r="H190" s="808" t="s">
        <v>239</v>
      </c>
      <c r="I190" s="808" t="s">
        <v>239</v>
      </c>
      <c r="J190" s="95"/>
    </row>
    <row r="191" spans="1:10" ht="13" x14ac:dyDescent="0.3">
      <c r="A191" s="91"/>
      <c r="B191" s="74" t="s">
        <v>1</v>
      </c>
      <c r="C191" s="74"/>
      <c r="D191" s="74"/>
      <c r="E191" s="74"/>
      <c r="F191" s="74"/>
      <c r="G191" s="74"/>
      <c r="H191" s="809"/>
      <c r="I191" s="809"/>
      <c r="J191" s="95"/>
    </row>
    <row r="192" spans="1:10" ht="13" x14ac:dyDescent="0.3">
      <c r="A192" s="91"/>
      <c r="B192" s="74" t="s">
        <v>1</v>
      </c>
      <c r="C192" s="74"/>
      <c r="D192" s="74"/>
      <c r="E192" s="74"/>
      <c r="F192" s="74"/>
      <c r="G192" s="74"/>
      <c r="H192" s="74"/>
      <c r="I192" s="74"/>
      <c r="J192" s="95"/>
    </row>
    <row r="193" spans="1:10" ht="13" x14ac:dyDescent="0.3">
      <c r="A193" s="91"/>
      <c r="B193" s="74"/>
      <c r="C193" s="74"/>
      <c r="D193" s="74"/>
      <c r="E193" s="74"/>
      <c r="F193" s="74"/>
      <c r="G193" s="74"/>
      <c r="H193" s="103" t="s">
        <v>734</v>
      </c>
      <c r="I193" s="103" t="str">
        <f>+'Unit tariffs'!$F$11</f>
        <v>2026/2027</v>
      </c>
      <c r="J193" s="444" t="s">
        <v>313</v>
      </c>
    </row>
    <row r="194" spans="1:10" ht="13" x14ac:dyDescent="0.3">
      <c r="A194" s="91"/>
      <c r="B194" s="104" t="s">
        <v>41</v>
      </c>
      <c r="C194" s="74"/>
      <c r="D194" s="74"/>
      <c r="E194" s="74"/>
      <c r="F194" s="74"/>
      <c r="G194" s="74"/>
      <c r="H194" s="74"/>
      <c r="I194" s="74"/>
      <c r="J194" s="95"/>
    </row>
    <row r="195" spans="1:10" ht="13" x14ac:dyDescent="0.3">
      <c r="A195" s="91"/>
      <c r="B195" s="74"/>
      <c r="C195" s="74"/>
      <c r="D195" s="74"/>
      <c r="E195" s="74"/>
      <c r="F195" s="74"/>
      <c r="G195" s="74"/>
      <c r="H195" s="74"/>
      <c r="I195" s="74"/>
      <c r="J195" s="95"/>
    </row>
    <row r="196" spans="1:10" ht="13" x14ac:dyDescent="0.3">
      <c r="A196" s="91"/>
      <c r="B196" s="74">
        <v>1</v>
      </c>
      <c r="C196" s="74" t="str">
        <f>'Unit tariffs'!B34</f>
        <v>METER:S/P WIRED PRE-PAID</v>
      </c>
      <c r="D196" s="74"/>
      <c r="E196" s="74"/>
      <c r="F196" s="74"/>
      <c r="G196" s="74"/>
      <c r="H196" s="76">
        <v>2156.5407359999999</v>
      </c>
      <c r="I196" s="76">
        <f>VLOOKUP($C196,'Unit tariffs'!$B$21:$F$123,5,FALSE)*$B196</f>
        <v>2142.3529679999997</v>
      </c>
      <c r="J196" s="457" t="e">
        <f>IF(+I196*'Unit tariffs'!#REF!&gt;'Unit tariffs'!#REF!,'Unit tariffs'!#REF!,+I196*'Unit tariffs'!#REF!)</f>
        <v>#REF!</v>
      </c>
    </row>
    <row r="197" spans="1:10" ht="13" x14ac:dyDescent="0.3">
      <c r="A197" s="91"/>
      <c r="B197" s="74">
        <v>1</v>
      </c>
      <c r="C197" s="74" t="str">
        <f>'Unit tariffs'!B43</f>
        <v>x 80 A circuit breaker (5kA) - Orange</v>
      </c>
      <c r="D197" s="74"/>
      <c r="E197" s="74"/>
      <c r="F197" s="74"/>
      <c r="G197" s="74"/>
      <c r="H197" s="76">
        <v>0</v>
      </c>
      <c r="I197" s="76">
        <f>VLOOKUP($C197,'Unit tariffs'!$B$21:$F$123,5,FALSE)*$B197</f>
        <v>0</v>
      </c>
      <c r="J197" s="457" t="e">
        <f>IF(+I197*'Unit tariffs'!#REF!&gt;'Unit tariffs'!#REF!,'Unit tariffs'!#REF!,+I197*'Unit tariffs'!#REF!)</f>
        <v>#REF!</v>
      </c>
    </row>
    <row r="198" spans="1:10" ht="13" x14ac:dyDescent="0.3">
      <c r="A198" s="91"/>
      <c r="B198" s="74">
        <v>1</v>
      </c>
      <c r="C198" s="74" t="str">
        <f>'Unit tariffs'!B21</f>
        <v>Installation material</v>
      </c>
      <c r="D198" s="74"/>
      <c r="E198" s="74"/>
      <c r="F198" s="74"/>
      <c r="G198" s="74"/>
      <c r="H198" s="81">
        <v>284.35400000000004</v>
      </c>
      <c r="I198" s="81">
        <f>VLOOKUP($C198,'Unit tariffs'!$B$21:$F$123,5,FALSE)*$B198</f>
        <v>282.48325</v>
      </c>
      <c r="J198" s="457" t="e">
        <f>IF(+I198*'Unit tariffs'!#REF!&gt;'Unit tariffs'!#REF!,'Unit tariffs'!#REF!,+I198*'Unit tariffs'!#REF!)</f>
        <v>#REF!</v>
      </c>
    </row>
    <row r="199" spans="1:10" ht="13" x14ac:dyDescent="0.3">
      <c r="A199" s="91"/>
      <c r="B199" s="74"/>
      <c r="C199" s="74"/>
      <c r="D199" s="74"/>
      <c r="E199" s="74"/>
      <c r="F199" s="74"/>
      <c r="G199" s="74"/>
      <c r="H199" s="76">
        <v>2440.8947360000002</v>
      </c>
      <c r="I199" s="76">
        <f>SUM(I196:I198)</f>
        <v>2424.8362179999995</v>
      </c>
      <c r="J199" s="105"/>
    </row>
    <row r="200" spans="1:10" ht="13" x14ac:dyDescent="0.3">
      <c r="A200" s="91"/>
      <c r="B200" s="104" t="s">
        <v>42</v>
      </c>
      <c r="C200" s="74"/>
      <c r="D200" s="74"/>
      <c r="E200" s="74"/>
      <c r="F200" s="74"/>
      <c r="G200" s="74"/>
      <c r="H200" s="74"/>
      <c r="I200" s="74"/>
      <c r="J200" s="95"/>
    </row>
    <row r="201" spans="1:10" ht="13" x14ac:dyDescent="0.3">
      <c r="A201" s="91"/>
      <c r="B201" s="74"/>
      <c r="C201" s="74"/>
      <c r="D201" s="74"/>
      <c r="E201" s="74"/>
      <c r="F201" s="74"/>
      <c r="G201" s="74"/>
      <c r="H201" s="74"/>
      <c r="I201" s="74"/>
      <c r="J201" s="95"/>
    </row>
    <row r="202" spans="1:10" ht="13" x14ac:dyDescent="0.3">
      <c r="A202" s="91"/>
      <c r="B202" s="74">
        <v>1</v>
      </c>
      <c r="C202" s="74" t="str">
        <f>'Unit tariffs'!B$87</f>
        <v xml:space="preserve">hour-artisan </v>
      </c>
      <c r="D202" s="74"/>
      <c r="E202" s="74"/>
      <c r="F202" s="74"/>
      <c r="G202" s="74"/>
      <c r="H202" s="76">
        <v>351.19276615384621</v>
      </c>
      <c r="I202" s="76">
        <f>VLOOKUP($C202,'Unit tariffs'!$B$21:$F$123,5,FALSE)*$B202</f>
        <v>351.19276615384621</v>
      </c>
      <c r="J202" s="105"/>
    </row>
    <row r="203" spans="1:10" ht="13" x14ac:dyDescent="0.3">
      <c r="A203" s="91"/>
      <c r="B203" s="74">
        <v>2</v>
      </c>
      <c r="C203" s="74" t="str">
        <f>'Unit tariffs'!B$85</f>
        <v>hour-artisan assistant</v>
      </c>
      <c r="D203" s="74"/>
      <c r="E203" s="74"/>
      <c r="F203" s="74"/>
      <c r="G203" s="74"/>
      <c r="H203" s="81">
        <v>279.64851692307695</v>
      </c>
      <c r="I203" s="81">
        <f>VLOOKUP($C203,'Unit tariffs'!$B$21:$F$123,5,FALSE)*$B203</f>
        <v>279.64851692307695</v>
      </c>
      <c r="J203" s="105"/>
    </row>
    <row r="204" spans="1:10" ht="13" x14ac:dyDescent="0.3">
      <c r="A204" s="91"/>
      <c r="B204" s="74"/>
      <c r="C204" s="74"/>
      <c r="D204" s="74"/>
      <c r="E204" s="74"/>
      <c r="F204" s="74"/>
      <c r="G204" s="74"/>
      <c r="H204" s="76">
        <v>630.84128307692322</v>
      </c>
      <c r="I204" s="76">
        <f>SUM(I202:I203)</f>
        <v>630.84128307692322</v>
      </c>
      <c r="J204" s="105"/>
    </row>
    <row r="205" spans="1:10" ht="13" x14ac:dyDescent="0.3">
      <c r="A205" s="91"/>
      <c r="B205" s="104" t="s">
        <v>43</v>
      </c>
      <c r="C205" s="74"/>
      <c r="D205" s="74"/>
      <c r="E205" s="74"/>
      <c r="F205" s="74"/>
      <c r="G205" s="74"/>
      <c r="H205" s="74"/>
      <c r="I205" s="74"/>
      <c r="J205" s="95"/>
    </row>
    <row r="206" spans="1:10" ht="13" x14ac:dyDescent="0.3">
      <c r="A206" s="91"/>
      <c r="B206" s="74"/>
      <c r="C206" s="74"/>
      <c r="D206" s="74"/>
      <c r="E206" s="74"/>
      <c r="F206" s="74"/>
      <c r="G206" s="74"/>
      <c r="H206" s="74"/>
      <c r="I206" s="74"/>
      <c r="J206" s="95"/>
    </row>
    <row r="207" spans="1:10" ht="13" x14ac:dyDescent="0.3">
      <c r="A207" s="91"/>
      <c r="B207" s="74">
        <v>24</v>
      </c>
      <c r="C207" s="74" t="str">
        <f>'Unit tariffs'!B$111</f>
        <v>km-truck with platform</v>
      </c>
      <c r="D207" s="74"/>
      <c r="E207" s="74"/>
      <c r="F207" s="74"/>
      <c r="G207" s="74"/>
      <c r="H207" s="76">
        <v>1190.6328325523293</v>
      </c>
      <c r="I207" s="76">
        <f>VLOOKUP($C207,'Unit tariffs'!$B$21:$F$123,5,FALSE)*$B207</f>
        <v>1182.7997218118533</v>
      </c>
      <c r="J207" s="105"/>
    </row>
    <row r="208" spans="1:10" ht="13" x14ac:dyDescent="0.3">
      <c r="A208" s="91"/>
      <c r="B208" s="74">
        <v>1</v>
      </c>
      <c r="C208" s="74" t="str">
        <f>'Unit tariffs'!B$112</f>
        <v>hour-truck with platform</v>
      </c>
      <c r="D208" s="74"/>
      <c r="E208" s="74"/>
      <c r="F208" s="74"/>
      <c r="G208" s="74"/>
      <c r="H208" s="81">
        <v>241.43148553267841</v>
      </c>
      <c r="I208" s="81">
        <f>VLOOKUP($C208,'Unit tariffs'!$B$21:$F$123,5,FALSE)*$B208</f>
        <v>239.8431204962792</v>
      </c>
      <c r="J208" s="105"/>
    </row>
    <row r="209" spans="1:10" ht="13" x14ac:dyDescent="0.3">
      <c r="A209" s="91"/>
      <c r="B209" s="74"/>
      <c r="C209" s="74"/>
      <c r="D209" s="74"/>
      <c r="E209" s="74"/>
      <c r="F209" s="74"/>
      <c r="G209" s="74"/>
      <c r="H209" s="76">
        <v>1432.0643180850077</v>
      </c>
      <c r="I209" s="76">
        <f>SUM(I207:I208)</f>
        <v>1422.6428423081325</v>
      </c>
      <c r="J209" s="105"/>
    </row>
    <row r="210" spans="1:10" ht="13" x14ac:dyDescent="0.3">
      <c r="A210" s="91"/>
      <c r="B210" s="74"/>
      <c r="C210" s="74"/>
      <c r="D210" s="74"/>
      <c r="E210" s="74"/>
      <c r="F210" s="74"/>
      <c r="G210" s="74"/>
      <c r="H210" s="76"/>
      <c r="I210" s="76"/>
      <c r="J210" s="105"/>
    </row>
    <row r="211" spans="1:10" ht="13" x14ac:dyDescent="0.3">
      <c r="A211" s="91"/>
      <c r="B211" s="74"/>
      <c r="C211" s="74"/>
      <c r="D211" s="74"/>
      <c r="E211" s="74"/>
      <c r="F211" s="74"/>
      <c r="G211" s="74"/>
      <c r="H211" s="76">
        <v>4503.8003371619307</v>
      </c>
      <c r="I211" s="76">
        <f>I209+I204+I199</f>
        <v>4478.3203433850549</v>
      </c>
      <c r="J211" s="105"/>
    </row>
    <row r="212" spans="1:10" ht="13.5" thickBot="1" x14ac:dyDescent="0.35">
      <c r="A212" s="91"/>
      <c r="B212" s="104" t="str">
        <f>'Unit tariffs'!$B$7</f>
        <v>Administration Levy (Indirect Cost)</v>
      </c>
      <c r="C212" s="74"/>
      <c r="D212" s="106">
        <f>'Unit tariffs'!$C$7</f>
        <v>0.1</v>
      </c>
      <c r="E212" s="74" t="s">
        <v>311</v>
      </c>
      <c r="F212" s="186">
        <f>+'Unit tariffs'!$F$7</f>
        <v>10000</v>
      </c>
      <c r="G212" s="74"/>
      <c r="H212" s="108">
        <v>450.38003371619311</v>
      </c>
      <c r="I212" s="108">
        <f>IF(I211*$D212&gt;='Unit tariffs'!$E$7,'Unit tariffs'!$E$7,I211*$D212)</f>
        <v>447.83203433850554</v>
      </c>
      <c r="J212" s="105"/>
    </row>
    <row r="213" spans="1:10" ht="13.5" thickTop="1" x14ac:dyDescent="0.3">
      <c r="A213" s="91"/>
      <c r="B213" s="104" t="s">
        <v>44</v>
      </c>
      <c r="C213" s="74"/>
      <c r="D213" s="74"/>
      <c r="E213" s="74"/>
      <c r="F213" s="74"/>
      <c r="G213" s="74"/>
      <c r="H213" s="109">
        <v>4954.1803708781235</v>
      </c>
      <c r="I213" s="109">
        <f>SUM(I211:I212)</f>
        <v>4926.1523777235607</v>
      </c>
      <c r="J213" s="105"/>
    </row>
    <row r="214" spans="1:10" ht="13" x14ac:dyDescent="0.3">
      <c r="A214" s="91"/>
      <c r="B214" s="74"/>
      <c r="C214" s="74"/>
      <c r="D214" s="74"/>
      <c r="E214" s="74"/>
      <c r="F214" s="74"/>
      <c r="G214" s="74"/>
      <c r="H214" s="74"/>
      <c r="I214" s="74"/>
      <c r="J214" s="95"/>
    </row>
    <row r="215" spans="1:10" ht="13" x14ac:dyDescent="0.3">
      <c r="A215" s="91"/>
      <c r="B215" s="104" t="s">
        <v>45</v>
      </c>
      <c r="C215" s="74"/>
      <c r="D215" s="74"/>
      <c r="E215" s="74"/>
      <c r="F215" s="74"/>
      <c r="G215" s="74"/>
      <c r="H215" s="84">
        <v>4950</v>
      </c>
      <c r="I215" s="84">
        <f>ROUND(I213,-1)</f>
        <v>4930</v>
      </c>
      <c r="J215" s="110"/>
    </row>
    <row r="216" spans="1:10" ht="13" x14ac:dyDescent="0.3">
      <c r="A216" s="91"/>
      <c r="B216" s="74"/>
      <c r="C216" s="74"/>
      <c r="D216" s="74"/>
      <c r="E216" s="74"/>
      <c r="F216" s="74"/>
      <c r="G216" s="74"/>
      <c r="H216" s="76"/>
      <c r="I216" s="76"/>
      <c r="J216" s="105"/>
    </row>
    <row r="217" spans="1:10" ht="13" x14ac:dyDescent="0.3">
      <c r="A217" s="91"/>
      <c r="B217" s="74"/>
      <c r="C217" s="74"/>
      <c r="D217" s="74"/>
      <c r="E217" s="74"/>
      <c r="F217" s="74"/>
      <c r="G217" s="74"/>
      <c r="H217" s="112">
        <v>-6.024096385542169E-3</v>
      </c>
      <c r="I217" s="112">
        <f>(+I215-H215)/H215</f>
        <v>-4.0404040404040404E-3</v>
      </c>
      <c r="J217" s="113"/>
    </row>
    <row r="218" spans="1:10" ht="13" x14ac:dyDescent="0.3">
      <c r="A218" s="91"/>
      <c r="B218" s="74"/>
      <c r="C218" s="74"/>
      <c r="D218" s="74"/>
      <c r="E218" s="74"/>
      <c r="F218" s="74"/>
      <c r="G218" s="74"/>
      <c r="H218" s="74"/>
      <c r="I218" s="74"/>
      <c r="J218" s="95"/>
    </row>
    <row r="219" spans="1:10" ht="15" customHeight="1" thickBot="1" x14ac:dyDescent="0.4">
      <c r="A219" s="123"/>
      <c r="B219" s="805"/>
      <c r="C219" s="123"/>
      <c r="D219" s="123"/>
      <c r="E219" s="123"/>
      <c r="F219" s="123"/>
      <c r="G219" s="123"/>
      <c r="H219" s="108"/>
      <c r="I219" s="108"/>
      <c r="J219" s="74"/>
    </row>
    <row r="220" spans="1:10" ht="13.5" thickTop="1" x14ac:dyDescent="0.3">
      <c r="A220" s="91"/>
      <c r="B220" s="74" t="s">
        <v>1</v>
      </c>
      <c r="C220" s="74"/>
      <c r="D220" s="74"/>
      <c r="E220" s="74"/>
      <c r="F220" s="74"/>
      <c r="G220" s="74"/>
      <c r="H220" s="74"/>
      <c r="I220" s="74"/>
      <c r="J220" s="95"/>
    </row>
    <row r="221" spans="1:10" ht="35.4" customHeight="1" x14ac:dyDescent="0.3">
      <c r="A221" s="91"/>
      <c r="B221" s="147" t="s">
        <v>513</v>
      </c>
      <c r="C221" s="826"/>
      <c r="D221" s="826"/>
      <c r="E221" s="826"/>
      <c r="F221" s="826"/>
      <c r="G221" s="827"/>
      <c r="H221" s="808" t="s">
        <v>239</v>
      </c>
      <c r="I221" s="808" t="s">
        <v>239</v>
      </c>
      <c r="J221" s="95"/>
    </row>
    <row r="222" spans="1:10" ht="13" x14ac:dyDescent="0.3">
      <c r="A222" s="91"/>
      <c r="B222" s="122"/>
      <c r="C222" s="74"/>
      <c r="D222" s="74"/>
      <c r="E222" s="74"/>
      <c r="F222" s="74"/>
      <c r="G222" s="74"/>
      <c r="H222" s="809"/>
      <c r="I222" s="809"/>
      <c r="J222" s="95"/>
    </row>
    <row r="223" spans="1:10" ht="13" x14ac:dyDescent="0.3">
      <c r="A223" s="91"/>
      <c r="B223" s="74" t="s">
        <v>102</v>
      </c>
      <c r="C223" s="74"/>
      <c r="D223" s="74"/>
      <c r="E223" s="74"/>
      <c r="F223" s="74"/>
      <c r="G223" s="74"/>
      <c r="H223" s="74"/>
      <c r="I223" s="74"/>
      <c r="J223" s="95"/>
    </row>
    <row r="224" spans="1:10" ht="13" x14ac:dyDescent="0.3">
      <c r="A224" s="91"/>
      <c r="B224" s="74" t="s">
        <v>103</v>
      </c>
      <c r="C224" s="74"/>
      <c r="D224" s="74"/>
      <c r="E224" s="74"/>
      <c r="F224" s="74"/>
      <c r="G224" s="74"/>
      <c r="H224" s="74"/>
      <c r="I224" s="74"/>
      <c r="J224" s="95"/>
    </row>
    <row r="225" spans="1:10" ht="13" x14ac:dyDescent="0.3">
      <c r="A225" s="91"/>
      <c r="B225" s="74" t="s">
        <v>140</v>
      </c>
      <c r="C225" s="74"/>
      <c r="D225" s="74"/>
      <c r="E225" s="74"/>
      <c r="F225" s="74"/>
      <c r="G225" s="74"/>
      <c r="H225" s="74"/>
      <c r="I225" s="74"/>
      <c r="J225" s="95"/>
    </row>
    <row r="226" spans="1:10" ht="13" x14ac:dyDescent="0.3">
      <c r="A226" s="91"/>
      <c r="B226" s="74"/>
      <c r="C226" s="74"/>
      <c r="D226" s="74"/>
      <c r="E226" s="74"/>
      <c r="F226" s="74"/>
      <c r="G226" s="74"/>
      <c r="H226" s="74"/>
      <c r="I226" s="74"/>
      <c r="J226" s="95"/>
    </row>
    <row r="227" spans="1:10" ht="13" x14ac:dyDescent="0.3">
      <c r="A227" s="91"/>
      <c r="B227" s="104"/>
      <c r="C227" s="104"/>
      <c r="D227" s="104"/>
      <c r="E227" s="104"/>
      <c r="F227" s="104"/>
      <c r="G227" s="104"/>
      <c r="H227" s="104"/>
      <c r="I227" s="104"/>
      <c r="J227" s="451"/>
    </row>
    <row r="228" spans="1:10" ht="13" x14ac:dyDescent="0.3">
      <c r="A228" s="91"/>
      <c r="B228" s="214" t="s">
        <v>260</v>
      </c>
      <c r="C228" s="215"/>
      <c r="D228" s="215"/>
      <c r="E228" s="215"/>
      <c r="F228" s="74"/>
      <c r="G228" s="74"/>
      <c r="H228" s="103" t="str">
        <f>+'Unit tariffs'!$E$11</f>
        <v>2025/2026</v>
      </c>
      <c r="I228" s="103" t="str">
        <f>+'Unit tariffs'!$F$11</f>
        <v>2026/2027</v>
      </c>
      <c r="J228" s="444"/>
    </row>
    <row r="229" spans="1:10" ht="13" x14ac:dyDescent="0.3">
      <c r="A229" s="91"/>
      <c r="B229" s="74"/>
      <c r="C229" s="74"/>
      <c r="D229" s="74"/>
      <c r="E229" s="74"/>
      <c r="F229" s="74"/>
      <c r="G229" s="74"/>
      <c r="H229" s="103"/>
      <c r="I229" s="103"/>
      <c r="J229" s="444"/>
    </row>
    <row r="230" spans="1:10" ht="13" x14ac:dyDescent="0.3">
      <c r="A230" s="91"/>
      <c r="B230" s="104" t="s">
        <v>41</v>
      </c>
      <c r="C230" s="74"/>
      <c r="D230" s="74"/>
      <c r="E230" s="74"/>
      <c r="F230" s="74" t="s">
        <v>219</v>
      </c>
      <c r="G230" s="74"/>
      <c r="H230" s="675">
        <v>0</v>
      </c>
      <c r="I230" s="675">
        <v>0</v>
      </c>
      <c r="J230" s="95"/>
    </row>
    <row r="231" spans="1:10" ht="13" x14ac:dyDescent="0.3">
      <c r="A231" s="91"/>
      <c r="B231" s="104" t="s">
        <v>42</v>
      </c>
      <c r="C231" s="74"/>
      <c r="D231" s="74"/>
      <c r="E231" s="74"/>
      <c r="F231" s="74"/>
      <c r="G231" s="74"/>
      <c r="H231" s="74">
        <v>0</v>
      </c>
      <c r="I231" s="74">
        <f>SUM(I230)</f>
        <v>0</v>
      </c>
      <c r="J231" s="95"/>
    </row>
    <row r="232" spans="1:10" ht="13" x14ac:dyDescent="0.3">
      <c r="A232" s="91"/>
      <c r="B232" s="74"/>
      <c r="C232" s="74"/>
      <c r="D232" s="74"/>
      <c r="E232" s="74"/>
      <c r="F232" s="74"/>
      <c r="G232" s="74"/>
      <c r="H232" s="74"/>
      <c r="I232" s="74"/>
      <c r="J232" s="95"/>
    </row>
    <row r="233" spans="1:10" ht="13" x14ac:dyDescent="0.3">
      <c r="A233" s="91"/>
      <c r="B233" s="74">
        <v>1</v>
      </c>
      <c r="C233" s="74" t="str">
        <f>'Unit tariffs'!B$87</f>
        <v xml:space="preserve">hour-artisan </v>
      </c>
      <c r="D233" s="74"/>
      <c r="E233" s="74"/>
      <c r="F233" s="74"/>
      <c r="G233" s="74"/>
      <c r="H233" s="76">
        <v>351.19276615384621</v>
      </c>
      <c r="I233" s="76">
        <f>VLOOKUP($C233,'Unit tariffs'!$B$21:$F$123,5,FALSE)*$B233</f>
        <v>351.19276615384621</v>
      </c>
      <c r="J233" s="105"/>
    </row>
    <row r="234" spans="1:10" ht="13" x14ac:dyDescent="0.3">
      <c r="A234" s="91"/>
      <c r="B234" s="74">
        <v>0.8</v>
      </c>
      <c r="C234" s="74" t="str">
        <f>'Unit tariffs'!B$85</f>
        <v>hour-artisan assistant</v>
      </c>
      <c r="D234" s="74"/>
      <c r="E234" s="74"/>
      <c r="F234" s="74"/>
      <c r="G234" s="74"/>
      <c r="H234" s="81">
        <v>111.85940676923079</v>
      </c>
      <c r="I234" s="81">
        <f>VLOOKUP($C234,'Unit tariffs'!$B$21:$F$123,5,FALSE)*$B234</f>
        <v>111.85940676923079</v>
      </c>
      <c r="J234" s="105"/>
    </row>
    <row r="235" spans="1:10" ht="13" x14ac:dyDescent="0.3">
      <c r="A235" s="91"/>
      <c r="B235" s="74"/>
      <c r="C235" s="74"/>
      <c r="D235" s="74"/>
      <c r="E235" s="74"/>
      <c r="F235" s="74"/>
      <c r="G235" s="74"/>
      <c r="H235" s="76">
        <v>463.05217292307702</v>
      </c>
      <c r="I235" s="76">
        <f>SUM(I233:I234)</f>
        <v>463.05217292307702</v>
      </c>
      <c r="J235" s="105"/>
    </row>
    <row r="236" spans="1:10" ht="13" x14ac:dyDescent="0.3">
      <c r="A236" s="91"/>
      <c r="B236" s="104" t="s">
        <v>43</v>
      </c>
      <c r="C236" s="74"/>
      <c r="D236" s="74"/>
      <c r="E236" s="74"/>
      <c r="F236" s="74"/>
      <c r="G236" s="74"/>
      <c r="H236" s="74"/>
      <c r="I236" s="74"/>
      <c r="J236" s="95"/>
    </row>
    <row r="237" spans="1:10" ht="13" x14ac:dyDescent="0.3">
      <c r="A237" s="91"/>
      <c r="B237" s="74"/>
      <c r="C237" s="74"/>
      <c r="D237" s="74"/>
      <c r="E237" s="74"/>
      <c r="F237" s="74"/>
      <c r="G237" s="74"/>
      <c r="H237" s="74"/>
      <c r="I237" s="74"/>
      <c r="J237" s="95"/>
    </row>
    <row r="238" spans="1:10" ht="13" x14ac:dyDescent="0.3">
      <c r="A238" s="91"/>
      <c r="B238" s="74">
        <v>12</v>
      </c>
      <c r="C238" s="74" t="s">
        <v>48</v>
      </c>
      <c r="D238" s="74"/>
      <c r="E238" s="74"/>
      <c r="F238" s="74"/>
      <c r="G238" s="74"/>
      <c r="H238" s="76">
        <v>330.80519888819043</v>
      </c>
      <c r="I238" s="76">
        <f>VLOOKUP($C238,'Unit tariffs'!$B$21:$F$123,5,FALSE)*$B238</f>
        <v>328.62884889550492</v>
      </c>
      <c r="J238" s="105"/>
    </row>
    <row r="239" spans="1:10" ht="13" x14ac:dyDescent="0.3">
      <c r="A239" s="91"/>
      <c r="B239" s="74">
        <v>0.5</v>
      </c>
      <c r="C239" s="74" t="s">
        <v>49</v>
      </c>
      <c r="D239" s="74"/>
      <c r="E239" s="74"/>
      <c r="F239" s="74"/>
      <c r="G239" s="74"/>
      <c r="H239" s="76">
        <v>120.46672782114226</v>
      </c>
      <c r="I239" s="76">
        <f>VLOOKUP($C239,'Unit tariffs'!$B$21:$F$123,5,FALSE)*$B239</f>
        <v>119.67418355916104</v>
      </c>
      <c r="J239" s="105"/>
    </row>
    <row r="240" spans="1:10" ht="13" x14ac:dyDescent="0.3">
      <c r="A240" s="91"/>
      <c r="B240" s="74"/>
      <c r="C240" s="74"/>
      <c r="D240" s="74"/>
      <c r="E240" s="74"/>
      <c r="F240" s="74"/>
      <c r="G240" s="74"/>
      <c r="H240" s="649">
        <v>451.27192670933266</v>
      </c>
      <c r="I240" s="649">
        <f>SUM(I238:I239)</f>
        <v>448.30303245466598</v>
      </c>
      <c r="J240" s="105"/>
    </row>
    <row r="241" spans="1:10" ht="13" x14ac:dyDescent="0.3">
      <c r="A241" s="91"/>
      <c r="J241" s="105"/>
    </row>
    <row r="242" spans="1:10" ht="13" x14ac:dyDescent="0.3">
      <c r="A242" s="91"/>
      <c r="J242" s="105"/>
    </row>
    <row r="243" spans="1:10" ht="13" x14ac:dyDescent="0.3">
      <c r="A243" s="91"/>
      <c r="B243" s="74"/>
      <c r="C243" s="74"/>
      <c r="D243" s="74"/>
      <c r="E243" s="74"/>
      <c r="F243" s="74"/>
      <c r="G243" s="76"/>
      <c r="H243" s="76">
        <v>914.32409963240968</v>
      </c>
      <c r="I243" s="76">
        <f>I240+I235+I231</f>
        <v>911.355205377743</v>
      </c>
      <c r="J243" s="105"/>
    </row>
    <row r="244" spans="1:10" ht="13.5" thickBot="1" x14ac:dyDescent="0.35">
      <c r="A244" s="91"/>
      <c r="B244" s="104" t="str">
        <f>'Unit tariffs'!$B$7</f>
        <v>Administration Levy (Indirect Cost)</v>
      </c>
      <c r="C244" s="74"/>
      <c r="D244" s="106">
        <f>'Unit tariffs'!$C$7</f>
        <v>0.1</v>
      </c>
      <c r="E244" s="74" t="s">
        <v>311</v>
      </c>
      <c r="F244" s="186">
        <f>+'Unit tariffs'!$F$7</f>
        <v>10000</v>
      </c>
      <c r="G244" s="76"/>
      <c r="H244" s="108">
        <v>91.432409963240971</v>
      </c>
      <c r="I244" s="108">
        <f>IF(I243*$D244&gt;='Unit tariffs'!$E$7,'Unit tariffs'!$E$7,I243*$D244)</f>
        <v>91.135520537774312</v>
      </c>
      <c r="J244" s="105"/>
    </row>
    <row r="245" spans="1:10" ht="13.5" thickTop="1" x14ac:dyDescent="0.3">
      <c r="A245" s="91"/>
      <c r="B245" s="104" t="s">
        <v>44</v>
      </c>
      <c r="C245" s="74"/>
      <c r="D245" s="74"/>
      <c r="E245" s="74"/>
      <c r="F245" s="74"/>
      <c r="G245" s="76"/>
      <c r="H245" s="109">
        <v>1005.7565095956506</v>
      </c>
      <c r="I245" s="109">
        <f>SUM(I243:I244)</f>
        <v>1002.4907259155173</v>
      </c>
      <c r="J245" s="110"/>
    </row>
    <row r="246" spans="1:10" ht="13" x14ac:dyDescent="0.3">
      <c r="A246" s="91"/>
      <c r="B246" s="104"/>
      <c r="C246" s="74"/>
      <c r="D246" s="74"/>
      <c r="E246" s="74"/>
      <c r="F246" s="74"/>
      <c r="G246" s="76"/>
      <c r="H246" s="76"/>
      <c r="I246" s="76"/>
      <c r="J246" s="105"/>
    </row>
    <row r="247" spans="1:10" ht="13" x14ac:dyDescent="0.3">
      <c r="A247" s="91"/>
      <c r="B247" s="104" t="s">
        <v>45</v>
      </c>
      <c r="C247" s="74"/>
      <c r="D247" s="74"/>
      <c r="E247" s="74"/>
      <c r="F247" s="74"/>
      <c r="G247" s="74"/>
      <c r="H247" s="84">
        <v>1010</v>
      </c>
      <c r="I247" s="84">
        <f>ROUND(I245,-1)</f>
        <v>1000</v>
      </c>
      <c r="J247" s="113"/>
    </row>
    <row r="248" spans="1:10" ht="13" x14ac:dyDescent="0.3">
      <c r="A248" s="91"/>
      <c r="B248" s="74"/>
      <c r="C248" s="74"/>
      <c r="D248" s="74"/>
      <c r="E248" s="74"/>
      <c r="F248" s="74"/>
      <c r="G248" s="74"/>
      <c r="H248" s="76"/>
      <c r="I248" s="76"/>
      <c r="J248" s="113"/>
    </row>
    <row r="249" spans="1:10" ht="13" x14ac:dyDescent="0.3">
      <c r="A249" s="91"/>
      <c r="B249" s="74"/>
      <c r="C249" s="74"/>
      <c r="D249" s="74"/>
      <c r="E249" s="74"/>
      <c r="F249" s="74"/>
      <c r="G249" s="74"/>
      <c r="H249" s="112">
        <v>0.23170731707317074</v>
      </c>
      <c r="I249" s="112">
        <f>(+I247-H247)/H247</f>
        <v>-9.9009900990099011E-3</v>
      </c>
      <c r="J249" s="113"/>
    </row>
    <row r="250" spans="1:10" ht="13" x14ac:dyDescent="0.3">
      <c r="A250" s="91"/>
      <c r="B250" s="74"/>
      <c r="C250" s="74"/>
      <c r="D250" s="74"/>
      <c r="E250" s="74"/>
      <c r="F250" s="74"/>
      <c r="G250" s="74"/>
      <c r="H250" s="112"/>
      <c r="I250" s="112"/>
      <c r="J250" s="113"/>
    </row>
    <row r="251" spans="1:10" ht="13" x14ac:dyDescent="0.3">
      <c r="A251" s="91"/>
      <c r="B251" s="74"/>
      <c r="C251" s="74"/>
      <c r="D251" s="74"/>
      <c r="E251" s="74"/>
      <c r="F251" s="74"/>
      <c r="G251" s="74"/>
      <c r="H251" s="112"/>
      <c r="I251" s="112"/>
      <c r="J251" s="113"/>
    </row>
    <row r="252" spans="1:10" ht="13.5" thickBot="1" x14ac:dyDescent="0.35">
      <c r="A252" s="91"/>
      <c r="B252" s="74"/>
      <c r="C252" s="74"/>
      <c r="D252" s="74"/>
      <c r="E252" s="74"/>
      <c r="F252" s="74"/>
      <c r="G252" s="74"/>
      <c r="H252" s="112"/>
      <c r="I252" s="112"/>
      <c r="J252" s="113"/>
    </row>
    <row r="253" spans="1:10" ht="13.5" thickTop="1" x14ac:dyDescent="0.3">
      <c r="A253" s="445"/>
      <c r="B253" s="120" t="s">
        <v>1</v>
      </c>
      <c r="C253" s="120"/>
      <c r="D253" s="120"/>
      <c r="E253" s="120"/>
      <c r="F253" s="120"/>
      <c r="G253" s="120"/>
      <c r="H253" s="120"/>
      <c r="I253" s="120"/>
      <c r="J253" s="446"/>
    </row>
    <row r="254" spans="1:10" ht="35.75" customHeight="1" x14ac:dyDescent="0.3">
      <c r="A254" s="91"/>
      <c r="B254" s="838" t="s">
        <v>712</v>
      </c>
      <c r="C254" s="838"/>
      <c r="D254" s="838"/>
      <c r="E254" s="838"/>
      <c r="F254" s="838"/>
      <c r="G254" s="838"/>
      <c r="H254" s="809"/>
      <c r="I254" s="809"/>
      <c r="J254" s="95"/>
    </row>
    <row r="255" spans="1:10" ht="13" x14ac:dyDescent="0.3">
      <c r="A255" s="91"/>
      <c r="B255" s="74" t="s">
        <v>1</v>
      </c>
      <c r="C255" s="74"/>
      <c r="D255" s="74"/>
      <c r="E255" s="74"/>
      <c r="F255" s="74"/>
      <c r="G255" s="74"/>
      <c r="H255" s="809"/>
      <c r="I255" s="809"/>
      <c r="J255" s="95"/>
    </row>
    <row r="256" spans="1:10" ht="31.5" customHeight="1" x14ac:dyDescent="0.3">
      <c r="A256" s="91"/>
      <c r="B256" s="92" t="s">
        <v>465</v>
      </c>
      <c r="C256" s="824"/>
      <c r="D256" s="824"/>
      <c r="E256" s="824"/>
      <c r="F256" s="824"/>
      <c r="G256" s="825"/>
      <c r="H256" s="808" t="s">
        <v>239</v>
      </c>
      <c r="I256" s="808" t="s">
        <v>239</v>
      </c>
      <c r="J256" s="95"/>
    </row>
    <row r="257" spans="1:11" ht="13" x14ac:dyDescent="0.3">
      <c r="A257" s="91"/>
      <c r="B257" s="74"/>
      <c r="C257" s="74"/>
      <c r="D257" s="74"/>
      <c r="E257" s="74"/>
      <c r="F257" s="74"/>
      <c r="G257" s="74"/>
      <c r="H257" s="103" t="s">
        <v>734</v>
      </c>
      <c r="I257" s="103" t="str">
        <f>+'Unit tariffs'!$F$11</f>
        <v>2026/2027</v>
      </c>
      <c r="J257" s="444" t="s">
        <v>313</v>
      </c>
    </row>
    <row r="258" spans="1:11" ht="13" x14ac:dyDescent="0.3">
      <c r="A258" s="91"/>
      <c r="B258" s="74"/>
      <c r="C258" s="74"/>
      <c r="D258" s="74"/>
      <c r="E258" s="74"/>
      <c r="F258" s="74"/>
      <c r="G258" s="74"/>
      <c r="H258" s="103"/>
      <c r="I258" s="103"/>
      <c r="J258" s="450"/>
    </row>
    <row r="259" spans="1:11" ht="13" x14ac:dyDescent="0.3">
      <c r="A259" s="91"/>
      <c r="B259" s="74"/>
      <c r="C259" s="74"/>
      <c r="D259" s="74"/>
      <c r="E259" s="74"/>
      <c r="F259" s="74"/>
      <c r="G259" s="74"/>
      <c r="H259" s="128"/>
      <c r="I259" s="128"/>
      <c r="J259" s="450"/>
    </row>
    <row r="260" spans="1:11" ht="13" x14ac:dyDescent="0.3">
      <c r="A260" s="91"/>
      <c r="B260" s="104" t="s">
        <v>314</v>
      </c>
      <c r="C260" s="74"/>
      <c r="D260" s="74"/>
      <c r="E260" s="74"/>
      <c r="F260" s="74"/>
      <c r="G260" s="74"/>
      <c r="H260" s="74"/>
      <c r="I260" s="74"/>
      <c r="J260" s="95"/>
    </row>
    <row r="261" spans="1:11" ht="13" x14ac:dyDescent="0.3">
      <c r="A261" s="91"/>
      <c r="B261" s="74">
        <v>5</v>
      </c>
      <c r="C261" s="74" t="str">
        <f>'Unit tariffs'!B131</f>
        <v>Primary Backbone - Urban</v>
      </c>
      <c r="D261" s="74"/>
      <c r="E261" s="74"/>
      <c r="F261" s="74"/>
      <c r="G261" s="74"/>
      <c r="H261" s="76">
        <v>7225.0222579920028</v>
      </c>
      <c r="I261" s="76">
        <f>('Unit tariffs'!F131)*B261</f>
        <v>7177.4892168210008</v>
      </c>
      <c r="J261" s="95"/>
    </row>
    <row r="262" spans="1:11" ht="13" x14ac:dyDescent="0.3">
      <c r="A262" s="91"/>
      <c r="B262" s="74">
        <v>5</v>
      </c>
      <c r="C262" s="74" t="str">
        <f>'Unit tariffs'!B132</f>
        <v>Secondary Backbone - MV Urban</v>
      </c>
      <c r="D262" s="74"/>
      <c r="E262" s="74"/>
      <c r="F262" s="74"/>
      <c r="G262" s="74"/>
      <c r="H262" s="76">
        <v>5534.3392489000016</v>
      </c>
      <c r="I262" s="76">
        <f>('Unit tariffs'!F132)*B262</f>
        <v>5497.9291222625016</v>
      </c>
      <c r="J262" s="95"/>
    </row>
    <row r="263" spans="1:11" ht="13" x14ac:dyDescent="0.3">
      <c r="A263" s="91"/>
      <c r="B263" s="74">
        <v>5</v>
      </c>
      <c r="C263" s="74" t="str">
        <f>'Unit tariffs'!B134</f>
        <v>LV Backbone -Urban</v>
      </c>
      <c r="D263" s="74"/>
      <c r="E263" s="74"/>
      <c r="F263" s="74"/>
      <c r="G263" s="74"/>
      <c r="H263" s="81">
        <v>8810.6956097160019</v>
      </c>
      <c r="I263" s="81">
        <f>('Unit tariffs'!F133+'Unit tariffs'!F134)*B263</f>
        <v>8752.7305070205002</v>
      </c>
      <c r="J263" s="105"/>
    </row>
    <row r="264" spans="1:11" ht="13" x14ac:dyDescent="0.3">
      <c r="A264" s="91"/>
      <c r="B264" s="74"/>
      <c r="C264" s="74"/>
      <c r="D264" s="74"/>
      <c r="E264" s="74"/>
      <c r="F264" s="74"/>
      <c r="G264" s="74"/>
      <c r="H264" s="76">
        <v>21570.057116608004</v>
      </c>
      <c r="I264" s="76">
        <f>SUM(I261:I263)</f>
        <v>21428.148846104003</v>
      </c>
      <c r="J264" s="105"/>
    </row>
    <row r="265" spans="1:11" ht="13" x14ac:dyDescent="0.3">
      <c r="A265" s="91"/>
      <c r="B265" s="74"/>
      <c r="C265" s="74"/>
      <c r="D265" s="74"/>
      <c r="E265" s="74"/>
      <c r="F265" s="74"/>
      <c r="G265" s="74"/>
      <c r="H265" s="76"/>
      <c r="I265" s="76"/>
      <c r="J265" s="105"/>
    </row>
    <row r="266" spans="1:11" ht="13" x14ac:dyDescent="0.3">
      <c r="A266" s="91"/>
      <c r="B266" s="104" t="s">
        <v>41</v>
      </c>
      <c r="C266" s="74"/>
      <c r="D266" s="74"/>
      <c r="E266" s="74"/>
      <c r="F266" s="74"/>
      <c r="G266" s="74"/>
      <c r="H266" s="76"/>
      <c r="I266" s="76"/>
      <c r="J266" s="105"/>
    </row>
    <row r="267" spans="1:11" ht="13" x14ac:dyDescent="0.3">
      <c r="A267" s="91"/>
      <c r="B267" s="74">
        <v>1</v>
      </c>
      <c r="C267" s="74" t="str">
        <f>+'Unit tariffs'!B34</f>
        <v>METER:S/P WIRED PRE-PAID</v>
      </c>
      <c r="D267" s="74"/>
      <c r="E267" s="74"/>
      <c r="F267" s="74"/>
      <c r="G267" s="74"/>
      <c r="H267" s="76">
        <v>2156.5407359999999</v>
      </c>
      <c r="I267" s="76">
        <f>VLOOKUP($C267,'Unit tariffs'!$B$21:$F$123,5,FALSE)*$B267</f>
        <v>2142.3529679999997</v>
      </c>
      <c r="J267" s="457" t="e">
        <f>IF(+I267*'Unit tariffs'!#REF!&gt;'Unit tariffs'!#REF!,'Unit tariffs'!#REF!,+I267*'Unit tariffs'!#REF!)</f>
        <v>#REF!</v>
      </c>
    </row>
    <row r="268" spans="1:11" ht="13" x14ac:dyDescent="0.3">
      <c r="A268" s="91"/>
      <c r="B268" s="74">
        <v>1</v>
      </c>
      <c r="C268" s="74" t="str">
        <f>+'Unit tariffs'!B43</f>
        <v>x 80 A circuit breaker (5kA) - Orange</v>
      </c>
      <c r="D268" s="74"/>
      <c r="E268" s="74"/>
      <c r="F268" s="74"/>
      <c r="G268" s="74"/>
      <c r="H268" s="76">
        <v>0</v>
      </c>
      <c r="I268" s="76">
        <f>VLOOKUP($C268,'Unit tariffs'!$B$21:$F$123,5,FALSE)*$B268</f>
        <v>0</v>
      </c>
      <c r="J268" s="457" t="e">
        <f>IF(+I268*'Unit tariffs'!#REF!&gt;'Unit tariffs'!#REF!,'Unit tariffs'!#REF!,+I268*'Unit tariffs'!#REF!)</f>
        <v>#REF!</v>
      </c>
    </row>
    <row r="269" spans="1:11" ht="13" x14ac:dyDescent="0.3">
      <c r="A269" s="91"/>
      <c r="B269" s="74">
        <v>1</v>
      </c>
      <c r="C269" s="74" t="str">
        <f>+'Unit tariffs'!B21</f>
        <v>Installation material</v>
      </c>
      <c r="D269" s="74"/>
      <c r="E269" s="74"/>
      <c r="F269" s="74"/>
      <c r="G269" s="74"/>
      <c r="H269" s="81">
        <v>284.35400000000004</v>
      </c>
      <c r="I269" s="81">
        <f>VLOOKUP($C269,'Unit tariffs'!$B$21:$F$123,5,FALSE)*$B269</f>
        <v>282.48325</v>
      </c>
      <c r="J269" s="457" t="e">
        <f>IF(+I269*'Unit tariffs'!#REF!&gt;'Unit tariffs'!#REF!,'Unit tariffs'!#REF!,+I269*'Unit tariffs'!#REF!)</f>
        <v>#REF!</v>
      </c>
    </row>
    <row r="270" spans="1:11" ht="13" x14ac:dyDescent="0.3">
      <c r="A270" s="91"/>
      <c r="B270" s="74"/>
      <c r="C270" s="74"/>
      <c r="D270" s="74"/>
      <c r="E270" s="74"/>
      <c r="F270" s="74"/>
      <c r="G270" s="74"/>
      <c r="H270" s="76">
        <v>2440.8947360000002</v>
      </c>
      <c r="I270" s="76">
        <f>SUM(I267:I269)</f>
        <v>2424.8362179999995</v>
      </c>
      <c r="J270" s="105"/>
      <c r="K270" s="508"/>
    </row>
    <row r="271" spans="1:11" ht="13" x14ac:dyDescent="0.3">
      <c r="A271" s="91"/>
      <c r="B271" s="104" t="s">
        <v>42</v>
      </c>
      <c r="C271" s="74"/>
      <c r="D271" s="74"/>
      <c r="E271" s="74"/>
      <c r="F271" s="74"/>
      <c r="G271" s="74"/>
      <c r="H271" s="74"/>
      <c r="I271" s="74"/>
      <c r="J271" s="95"/>
    </row>
    <row r="272" spans="1:11" ht="13" x14ac:dyDescent="0.3">
      <c r="A272" s="91"/>
      <c r="B272" s="74"/>
      <c r="C272" s="74"/>
      <c r="D272" s="74"/>
      <c r="E272" s="74"/>
      <c r="F272" s="74"/>
      <c r="G272" s="74"/>
      <c r="H272" s="74"/>
      <c r="I272" s="74"/>
      <c r="J272" s="95"/>
    </row>
    <row r="273" spans="1:11" ht="13" x14ac:dyDescent="0.3">
      <c r="A273" s="91"/>
      <c r="B273" s="74">
        <v>0.8</v>
      </c>
      <c r="C273" s="74" t="str">
        <f>'Unit tariffs'!B$87</f>
        <v xml:space="preserve">hour-artisan </v>
      </c>
      <c r="D273" s="74"/>
      <c r="E273" s="74"/>
      <c r="F273" s="74"/>
      <c r="G273" s="74"/>
      <c r="H273" s="76">
        <v>280.95421292307697</v>
      </c>
      <c r="I273" s="76">
        <f>VLOOKUP($C273,'Unit tariffs'!$B$21:$F$123,5,FALSE)*$B273</f>
        <v>280.95421292307697</v>
      </c>
      <c r="J273" s="105"/>
    </row>
    <row r="274" spans="1:11" ht="13" x14ac:dyDescent="0.3">
      <c r="A274" s="91"/>
      <c r="B274" s="74">
        <v>1.6</v>
      </c>
      <c r="C274" s="74" t="str">
        <f>'Unit tariffs'!B$85</f>
        <v>hour-artisan assistant</v>
      </c>
      <c r="D274" s="74"/>
      <c r="E274" s="74"/>
      <c r="F274" s="74"/>
      <c r="G274" s="74"/>
      <c r="H274" s="81">
        <v>223.71881353846157</v>
      </c>
      <c r="I274" s="81">
        <f>VLOOKUP($C274,'Unit tariffs'!$B$21:$F$123,5,FALSE)*$B274</f>
        <v>223.71881353846157</v>
      </c>
      <c r="J274" s="105"/>
    </row>
    <row r="275" spans="1:11" ht="13" x14ac:dyDescent="0.3">
      <c r="A275" s="91"/>
      <c r="B275" s="74"/>
      <c r="C275" s="74"/>
      <c r="D275" s="74"/>
      <c r="E275" s="74"/>
      <c r="F275" s="74"/>
      <c r="G275" s="74"/>
      <c r="H275" s="76">
        <v>504.67302646153854</v>
      </c>
      <c r="I275" s="76">
        <f>SUM(I273:I274)</f>
        <v>504.67302646153854</v>
      </c>
      <c r="J275" s="105"/>
      <c r="K275" s="508"/>
    </row>
    <row r="276" spans="1:11" ht="13" x14ac:dyDescent="0.3">
      <c r="A276" s="91"/>
      <c r="B276" s="104" t="s">
        <v>43</v>
      </c>
      <c r="C276" s="74"/>
      <c r="D276" s="74"/>
      <c r="E276" s="74"/>
      <c r="F276" s="74"/>
      <c r="G276" s="74"/>
      <c r="H276" s="74"/>
      <c r="I276" s="74"/>
      <c r="J276" s="95"/>
    </row>
    <row r="277" spans="1:11" ht="13" x14ac:dyDescent="0.3">
      <c r="A277" s="91"/>
      <c r="B277" s="74"/>
      <c r="C277" s="74"/>
      <c r="D277" s="74"/>
      <c r="E277" s="74"/>
      <c r="F277" s="74"/>
      <c r="G277" s="74"/>
      <c r="H277" s="74"/>
      <c r="I277" s="74"/>
      <c r="J277" s="95"/>
    </row>
    <row r="278" spans="1:11" ht="13" x14ac:dyDescent="0.3">
      <c r="A278" s="91"/>
      <c r="B278" s="74">
        <v>24</v>
      </c>
      <c r="C278" s="74" t="str">
        <f>'Unit tariffs'!B$111</f>
        <v>km-truck with platform</v>
      </c>
      <c r="D278" s="74"/>
      <c r="E278" s="74"/>
      <c r="F278" s="74"/>
      <c r="G278" s="74"/>
      <c r="H278" s="76">
        <v>1190.6328325523293</v>
      </c>
      <c r="I278" s="76">
        <f>VLOOKUP($C278,'Unit tariffs'!$B$21:$F$123,5,FALSE)*$B278</f>
        <v>1182.7997218118533</v>
      </c>
      <c r="J278" s="105"/>
    </row>
    <row r="279" spans="1:11" ht="13" x14ac:dyDescent="0.3">
      <c r="A279" s="91"/>
      <c r="B279" s="74">
        <v>1</v>
      </c>
      <c r="C279" s="74" t="str">
        <f>'Unit tariffs'!B$112</f>
        <v>hour-truck with platform</v>
      </c>
      <c r="D279" s="74"/>
      <c r="E279" s="74"/>
      <c r="F279" s="74"/>
      <c r="G279" s="74"/>
      <c r="H279" s="76">
        <v>241.43148553267841</v>
      </c>
      <c r="I279" s="76">
        <f>VLOOKUP($C279,'Unit tariffs'!$B$21:$F$123,5,FALSE)*$B279</f>
        <v>239.8431204962792</v>
      </c>
      <c r="J279" s="105"/>
    </row>
    <row r="280" spans="1:11" ht="13" x14ac:dyDescent="0.3">
      <c r="A280" s="91"/>
      <c r="B280" s="74"/>
      <c r="C280" s="74"/>
      <c r="D280" s="74"/>
      <c r="E280" s="74"/>
      <c r="F280" s="74"/>
      <c r="G280" s="74"/>
      <c r="H280" s="649">
        <v>1432.0643180850077</v>
      </c>
      <c r="I280" s="649">
        <f>SUM(I278:I279)</f>
        <v>1422.6428423081325</v>
      </c>
      <c r="J280" s="105"/>
      <c r="K280" s="508"/>
    </row>
    <row r="281" spans="1:11" ht="13" x14ac:dyDescent="0.3">
      <c r="A281" s="91"/>
      <c r="J281" s="105"/>
      <c r="K281" s="508"/>
    </row>
    <row r="282" spans="1:11" ht="13" x14ac:dyDescent="0.3">
      <c r="A282" s="91"/>
      <c r="J282" s="105"/>
    </row>
    <row r="283" spans="1:11" ht="13" x14ac:dyDescent="0.3">
      <c r="A283" s="91"/>
      <c r="B283" s="74"/>
      <c r="C283" s="74"/>
      <c r="D283" s="74"/>
      <c r="E283" s="74"/>
      <c r="F283" s="74"/>
      <c r="G283" s="74"/>
      <c r="H283" s="189">
        <v>25947.689197154552</v>
      </c>
      <c r="I283" s="189">
        <f>I280+I275+I270+I264</f>
        <v>25780.300932873673</v>
      </c>
      <c r="J283" s="105"/>
      <c r="K283" s="508"/>
    </row>
    <row r="284" spans="1:11" ht="13.5" thickBot="1" x14ac:dyDescent="0.35">
      <c r="A284" s="91"/>
      <c r="B284" s="104" t="str">
        <f>'Unit tariffs'!$B$7</f>
        <v>Administration Levy (Indirect Cost)</v>
      </c>
      <c r="C284" s="74"/>
      <c r="D284" s="106">
        <f>'Unit tariffs'!$C$7</f>
        <v>0.1</v>
      </c>
      <c r="E284" s="74" t="s">
        <v>311</v>
      </c>
      <c r="F284" s="186">
        <f>+'Unit tariffs'!$F$7</f>
        <v>10000</v>
      </c>
      <c r="G284" s="74"/>
      <c r="H284" s="343">
        <v>2594.7689197154555</v>
      </c>
      <c r="I284" s="343">
        <f>IF(I283*$D284&gt;='Unit tariffs'!$E$7,'Unit tariffs'!$E$7,I283*$D284)</f>
        <v>2578.0300932873674</v>
      </c>
      <c r="J284" s="95"/>
    </row>
    <row r="285" spans="1:11" ht="13.5" thickTop="1" x14ac:dyDescent="0.3">
      <c r="A285" s="91"/>
      <c r="B285" s="104" t="s">
        <v>44</v>
      </c>
      <c r="C285" s="74"/>
      <c r="D285" s="74"/>
      <c r="E285" s="74"/>
      <c r="F285" s="74"/>
      <c r="G285" s="74"/>
      <c r="H285" s="346">
        <v>28542.458116870006</v>
      </c>
      <c r="I285" s="346">
        <f>SUM(I283:I284)</f>
        <v>28358.331026161042</v>
      </c>
      <c r="J285" s="110"/>
    </row>
    <row r="286" spans="1:11" ht="13" x14ac:dyDescent="0.3">
      <c r="A286" s="91"/>
      <c r="B286" s="74"/>
      <c r="C286" s="74"/>
      <c r="D286" s="74"/>
      <c r="E286" s="74"/>
      <c r="F286" s="74"/>
      <c r="G286" s="74"/>
      <c r="H286" s="74"/>
      <c r="I286" s="74"/>
      <c r="J286" s="105"/>
    </row>
    <row r="287" spans="1:11" ht="13" x14ac:dyDescent="0.3">
      <c r="A287" s="91"/>
      <c r="B287" s="104" t="s">
        <v>45</v>
      </c>
      <c r="C287" s="74"/>
      <c r="D287" s="74"/>
      <c r="E287" s="74"/>
      <c r="F287" s="74"/>
      <c r="G287" s="74"/>
      <c r="H287" s="841">
        <v>28540</v>
      </c>
      <c r="I287" s="84">
        <f>ROUND(I285,-1)</f>
        <v>28360</v>
      </c>
      <c r="J287" s="113"/>
    </row>
    <row r="288" spans="1:11" ht="13" x14ac:dyDescent="0.3">
      <c r="A288" s="91"/>
      <c r="B288" s="74"/>
      <c r="C288" s="74"/>
      <c r="D288" s="74"/>
      <c r="E288" s="74"/>
      <c r="F288" s="74"/>
      <c r="G288" s="74"/>
      <c r="H288" s="76"/>
      <c r="I288" s="76"/>
      <c r="J288" s="113"/>
    </row>
    <row r="289" spans="1:10" ht="13" x14ac:dyDescent="0.3">
      <c r="A289" s="91"/>
      <c r="B289" s="74"/>
      <c r="C289" s="74"/>
      <c r="D289" s="74"/>
      <c r="E289" s="74"/>
      <c r="F289" s="74"/>
      <c r="G289" s="74"/>
      <c r="H289" s="112">
        <v>0.12053396152336082</v>
      </c>
      <c r="I289" s="112">
        <f>(+I287-H287)/H287</f>
        <v>-6.3069376313945342E-3</v>
      </c>
      <c r="J289" s="113"/>
    </row>
    <row r="290" spans="1:10" ht="13.5" thickBot="1" x14ac:dyDescent="0.35">
      <c r="A290" s="448"/>
      <c r="B290" s="123"/>
      <c r="C290" s="123"/>
      <c r="D290" s="123"/>
      <c r="E290" s="123"/>
      <c r="F290" s="123"/>
      <c r="G290" s="123"/>
      <c r="H290" s="130"/>
      <c r="I290" s="130"/>
      <c r="J290" s="113"/>
    </row>
    <row r="291" spans="1:10" ht="13.5" thickTop="1" x14ac:dyDescent="0.3">
      <c r="A291" s="91"/>
      <c r="B291" s="74"/>
      <c r="C291" s="74"/>
      <c r="D291" s="74"/>
      <c r="E291" s="74"/>
      <c r="F291" s="74"/>
      <c r="G291" s="74"/>
      <c r="H291" s="112"/>
      <c r="I291" s="112"/>
      <c r="J291" s="113"/>
    </row>
    <row r="292" spans="1:10" ht="36" customHeight="1" x14ac:dyDescent="0.3">
      <c r="A292" s="91"/>
      <c r="B292" s="829" t="s">
        <v>713</v>
      </c>
      <c r="C292" s="824"/>
      <c r="D292" s="824"/>
      <c r="E292" s="824"/>
      <c r="F292" s="824"/>
      <c r="G292" s="825"/>
      <c r="H292" s="810" t="s">
        <v>672</v>
      </c>
      <c r="I292" s="810" t="s">
        <v>672</v>
      </c>
      <c r="J292" s="113"/>
    </row>
    <row r="293" spans="1:10" ht="13" x14ac:dyDescent="0.3">
      <c r="A293" s="91"/>
      <c r="H293" s="103" t="s">
        <v>734</v>
      </c>
      <c r="I293" s="103" t="str">
        <f>+'Unit tariffs'!$F$11</f>
        <v>2026/2027</v>
      </c>
      <c r="J293" s="113"/>
    </row>
    <row r="294" spans="1:10" ht="13" x14ac:dyDescent="0.3">
      <c r="A294" s="91"/>
      <c r="C294" s="74"/>
      <c r="D294" s="74"/>
      <c r="E294" s="74"/>
      <c r="F294" s="74"/>
      <c r="G294" s="74"/>
      <c r="H294" s="74"/>
      <c r="I294" s="74"/>
      <c r="J294" s="113"/>
    </row>
    <row r="295" spans="1:10" ht="13" x14ac:dyDescent="0.3">
      <c r="A295" s="91"/>
      <c r="B295" s="104" t="s">
        <v>117</v>
      </c>
      <c r="C295" s="74"/>
      <c r="D295" s="74"/>
      <c r="E295" s="74"/>
      <c r="F295" s="74"/>
      <c r="G295" s="74"/>
      <c r="H295" s="74"/>
      <c r="I295" s="74"/>
      <c r="J295" s="113"/>
    </row>
    <row r="296" spans="1:10" ht="13" x14ac:dyDescent="0.3">
      <c r="A296" s="91"/>
      <c r="B296" s="74" t="s">
        <v>118</v>
      </c>
      <c r="C296" s="74"/>
      <c r="D296" s="74"/>
      <c r="E296" s="74"/>
      <c r="F296" s="74"/>
      <c r="G296" s="74"/>
      <c r="H296" s="74"/>
      <c r="I296" s="74"/>
      <c r="J296" s="113"/>
    </row>
    <row r="297" spans="1:10" ht="13" x14ac:dyDescent="0.3">
      <c r="A297" s="91"/>
      <c r="B297" s="74">
        <v>5</v>
      </c>
      <c r="C297" s="74" t="str">
        <f>'Unit tariffs'!B137</f>
        <v>Primary Backbone - Peri Urban</v>
      </c>
      <c r="D297" s="74"/>
      <c r="E297" s="74"/>
      <c r="F297" s="74" t="str">
        <f>'Unit tariffs'!C$131</f>
        <v>per kVA</v>
      </c>
      <c r="G297" s="74"/>
      <c r="H297" s="76">
        <v>7225.0222579920028</v>
      </c>
      <c r="I297" s="76">
        <f>VLOOKUP($C297,'Unit tariffs'!$B$21:$F$155,5,FALSE)*$B297</f>
        <v>7177.4892168210008</v>
      </c>
      <c r="J297" s="113"/>
    </row>
    <row r="298" spans="1:10" ht="13" x14ac:dyDescent="0.3">
      <c r="A298" s="91"/>
      <c r="B298" s="74">
        <v>5</v>
      </c>
      <c r="C298" s="74" t="str">
        <f>'Unit tariffs'!B138</f>
        <v>Secondary Backbone - MV Peri Urban</v>
      </c>
      <c r="D298" s="74"/>
      <c r="E298" s="74"/>
      <c r="F298" s="74" t="str">
        <f>'Unit tariffs'!C$132</f>
        <v>per kVA</v>
      </c>
      <c r="G298" s="74"/>
      <c r="H298" s="76">
        <v>6080.031636140001</v>
      </c>
      <c r="I298" s="76">
        <f>VLOOKUP($C298,'Unit tariffs'!$B$21:$F$155,5,FALSE)*$B298</f>
        <v>6040.0314280074999</v>
      </c>
      <c r="J298" s="113"/>
    </row>
    <row r="299" spans="1:10" ht="13" x14ac:dyDescent="0.3">
      <c r="A299" s="91"/>
      <c r="B299" s="74">
        <v>5</v>
      </c>
      <c r="C299" s="74" t="str">
        <f>'Unit tariffs'!B139</f>
        <v>Secondary Backbone - LV Peri Urban</v>
      </c>
      <c r="D299" s="74"/>
      <c r="E299" s="74"/>
      <c r="F299" s="74" t="str">
        <f>'Unit tariffs'!C$133</f>
        <v>per kVA</v>
      </c>
      <c r="G299" s="74"/>
      <c r="H299" s="81">
        <v>9974.1282945920029</v>
      </c>
      <c r="I299" s="81">
        <f>VLOOKUP($C299,'Unit tariffs'!$B$21:$F$155,5,FALSE)*$B299</f>
        <v>9908.5090294960009</v>
      </c>
      <c r="J299" s="113"/>
    </row>
    <row r="300" spans="1:10" ht="13" x14ac:dyDescent="0.3">
      <c r="A300" s="91"/>
      <c r="B300" s="74"/>
      <c r="C300" s="74"/>
      <c r="D300" s="74"/>
      <c r="E300" s="74"/>
      <c r="F300" s="74"/>
      <c r="G300" s="74"/>
      <c r="H300" s="76">
        <v>23279.182188724008</v>
      </c>
      <c r="I300" s="76">
        <f>SUM(I297:I299)</f>
        <v>23126.029674324502</v>
      </c>
      <c r="J300" s="113"/>
    </row>
    <row r="301" spans="1:10" ht="13" x14ac:dyDescent="0.3">
      <c r="A301" s="91"/>
      <c r="B301" s="74"/>
      <c r="C301" s="74"/>
      <c r="D301" s="74"/>
      <c r="E301" s="74"/>
      <c r="F301" s="74"/>
      <c r="G301" s="74"/>
      <c r="H301" s="76"/>
      <c r="I301" s="76"/>
      <c r="J301" s="113"/>
    </row>
    <row r="302" spans="1:10" ht="13" x14ac:dyDescent="0.3">
      <c r="A302" s="91"/>
      <c r="B302" s="104" t="s">
        <v>41</v>
      </c>
      <c r="C302" s="74"/>
      <c r="D302" s="74"/>
      <c r="E302" s="74"/>
      <c r="F302" s="74"/>
      <c r="G302" s="74"/>
      <c r="H302" s="76"/>
      <c r="I302" s="76"/>
      <c r="J302" s="113"/>
    </row>
    <row r="303" spans="1:10" ht="13" x14ac:dyDescent="0.3">
      <c r="A303" s="91"/>
      <c r="B303" s="74">
        <v>1</v>
      </c>
      <c r="C303" s="74" t="str">
        <f>+'Unit tariffs'!B34</f>
        <v>METER:S/P WIRED PRE-PAID</v>
      </c>
      <c r="D303" s="74"/>
      <c r="E303" s="74"/>
      <c r="F303" s="74"/>
      <c r="G303" s="74"/>
      <c r="H303" s="76">
        <v>2156.5407359999999</v>
      </c>
      <c r="I303" s="76">
        <f>VLOOKUP($C303,'Unit tariffs'!$B$21:$F$123,5,FALSE)*$B303</f>
        <v>2142.3529679999997</v>
      </c>
      <c r="J303" s="113"/>
    </row>
    <row r="304" spans="1:10" ht="13" x14ac:dyDescent="0.3">
      <c r="A304" s="91"/>
      <c r="B304" s="74">
        <v>1</v>
      </c>
      <c r="C304" s="74" t="str">
        <f>+'Unit tariffs'!B43</f>
        <v>x 80 A circuit breaker (5kA) - Orange</v>
      </c>
      <c r="D304" s="74"/>
      <c r="E304" s="74"/>
      <c r="F304" s="74"/>
      <c r="G304" s="74"/>
      <c r="H304" s="76">
        <v>0</v>
      </c>
      <c r="I304" s="76">
        <f>VLOOKUP($C304,'Unit tariffs'!$B$21:$F$123,5,FALSE)*$B304</f>
        <v>0</v>
      </c>
      <c r="J304" s="113"/>
    </row>
    <row r="305" spans="1:10" ht="13" x14ac:dyDescent="0.3">
      <c r="A305" s="91"/>
      <c r="B305" s="74">
        <v>1</v>
      </c>
      <c r="C305" s="74" t="str">
        <f>+'Unit tariffs'!B21</f>
        <v>Installation material</v>
      </c>
      <c r="D305" s="74"/>
      <c r="E305" s="74"/>
      <c r="F305" s="74"/>
      <c r="G305" s="74"/>
      <c r="H305" s="81">
        <v>284.35400000000004</v>
      </c>
      <c r="I305" s="81">
        <f>VLOOKUP($C305,'Unit tariffs'!$B$21:$F$123,5,FALSE)*$B305</f>
        <v>282.48325</v>
      </c>
      <c r="J305" s="113"/>
    </row>
    <row r="306" spans="1:10" ht="13" x14ac:dyDescent="0.3">
      <c r="A306" s="91"/>
      <c r="B306" s="74"/>
      <c r="C306" s="74"/>
      <c r="D306" s="74"/>
      <c r="E306" s="74"/>
      <c r="F306" s="74"/>
      <c r="G306" s="74"/>
      <c r="H306" s="76">
        <v>2440.8947360000002</v>
      </c>
      <c r="I306" s="76">
        <f>SUM(I303:I305)</f>
        <v>2424.8362179999995</v>
      </c>
      <c r="J306" s="113"/>
    </row>
    <row r="307" spans="1:10" ht="13" x14ac:dyDescent="0.3">
      <c r="A307" s="91"/>
      <c r="B307" s="104" t="s">
        <v>42</v>
      </c>
      <c r="C307" s="74"/>
      <c r="D307" s="74"/>
      <c r="E307" s="74"/>
      <c r="F307" s="74"/>
      <c r="G307" s="74"/>
      <c r="H307" s="74"/>
      <c r="I307" s="74"/>
      <c r="J307" s="113"/>
    </row>
    <row r="308" spans="1:10" ht="13" x14ac:dyDescent="0.3">
      <c r="A308" s="91"/>
      <c r="B308" s="74"/>
      <c r="C308" s="74"/>
      <c r="D308" s="74"/>
      <c r="E308" s="74"/>
      <c r="F308" s="74"/>
      <c r="G308" s="74"/>
      <c r="H308" s="74"/>
      <c r="I308" s="74"/>
      <c r="J308" s="113"/>
    </row>
    <row r="309" spans="1:10" ht="13" x14ac:dyDescent="0.3">
      <c r="A309" s="91"/>
      <c r="B309" s="74">
        <v>1</v>
      </c>
      <c r="C309" s="74" t="str">
        <f>'Unit tariffs'!B87</f>
        <v xml:space="preserve">hour-artisan </v>
      </c>
      <c r="D309" s="74"/>
      <c r="E309" s="74"/>
      <c r="F309" s="74"/>
      <c r="G309" s="74"/>
      <c r="H309" s="76">
        <v>351.19276615384621</v>
      </c>
      <c r="I309" s="76">
        <f>VLOOKUP($C309,'Unit tariffs'!$B$21:$F$123,5,FALSE)*$B309</f>
        <v>351.19276615384621</v>
      </c>
      <c r="J309" s="113"/>
    </row>
    <row r="310" spans="1:10" ht="13" x14ac:dyDescent="0.3">
      <c r="A310" s="91"/>
      <c r="B310" s="74">
        <v>2</v>
      </c>
      <c r="C310" s="74" t="str">
        <f>'Unit tariffs'!B$85</f>
        <v>hour-artisan assistant</v>
      </c>
      <c r="D310" s="74"/>
      <c r="E310" s="74"/>
      <c r="F310" s="74"/>
      <c r="G310" s="74"/>
      <c r="H310" s="81">
        <v>279.64851692307695</v>
      </c>
      <c r="I310" s="81">
        <f>VLOOKUP($C310,'Unit tariffs'!$B$21:$F$123,5,FALSE)*$B310</f>
        <v>279.64851692307695</v>
      </c>
      <c r="J310" s="113"/>
    </row>
    <row r="311" spans="1:10" ht="13" x14ac:dyDescent="0.3">
      <c r="A311" s="91"/>
      <c r="B311" s="74"/>
      <c r="C311" s="74"/>
      <c r="D311" s="74"/>
      <c r="E311" s="74"/>
      <c r="F311" s="74"/>
      <c r="G311" s="74"/>
      <c r="H311" s="76">
        <v>630.84128307692322</v>
      </c>
      <c r="I311" s="76">
        <f>SUM(I309:I310)</f>
        <v>630.84128307692322</v>
      </c>
      <c r="J311" s="113"/>
    </row>
    <row r="312" spans="1:10" ht="13" x14ac:dyDescent="0.3">
      <c r="A312" s="91"/>
      <c r="B312" s="104" t="s">
        <v>43</v>
      </c>
      <c r="C312" s="74"/>
      <c r="D312" s="74"/>
      <c r="E312" s="74"/>
      <c r="F312" s="74"/>
      <c r="G312" s="74"/>
      <c r="H312" s="74"/>
      <c r="I312" s="74"/>
      <c r="J312" s="113"/>
    </row>
    <row r="313" spans="1:10" ht="13" x14ac:dyDescent="0.3">
      <c r="A313" s="91"/>
      <c r="B313" s="74"/>
      <c r="C313" s="74"/>
      <c r="D313" s="74"/>
      <c r="E313" s="74"/>
      <c r="F313" s="74"/>
      <c r="G313" s="74"/>
      <c r="H313" s="74"/>
      <c r="I313" s="74"/>
      <c r="J313" s="113"/>
    </row>
    <row r="314" spans="1:10" ht="13" x14ac:dyDescent="0.3">
      <c r="A314" s="91"/>
      <c r="B314" s="74">
        <v>30</v>
      </c>
      <c r="C314" s="74" t="str">
        <f>'Unit tariffs'!B$111</f>
        <v>km-truck with platform</v>
      </c>
      <c r="D314" s="74"/>
      <c r="E314" s="74"/>
      <c r="F314" s="74"/>
      <c r="G314" s="74"/>
      <c r="H314" s="76">
        <v>1488.2910406904116</v>
      </c>
      <c r="I314" s="76">
        <f>VLOOKUP($C314,'Unit tariffs'!$B$21:$F$123,5,FALSE)*$B314</f>
        <v>1478.4996522648166</v>
      </c>
      <c r="J314" s="113"/>
    </row>
    <row r="315" spans="1:10" ht="13" x14ac:dyDescent="0.3">
      <c r="A315" s="91"/>
      <c r="B315" s="74">
        <v>1</v>
      </c>
      <c r="C315" s="74" t="str">
        <f>'Unit tariffs'!B$112</f>
        <v>hour-truck with platform</v>
      </c>
      <c r="D315" s="74"/>
      <c r="E315" s="74"/>
      <c r="F315" s="74"/>
      <c r="G315" s="74"/>
      <c r="H315" s="76">
        <v>241.43148553267841</v>
      </c>
      <c r="I315" s="76">
        <f>VLOOKUP($C315,'Unit tariffs'!$B$21:$F$123,5,FALSE)*$B315</f>
        <v>239.8431204962792</v>
      </c>
      <c r="J315" s="113"/>
    </row>
    <row r="316" spans="1:10" ht="13" x14ac:dyDescent="0.3">
      <c r="A316" s="91"/>
      <c r="B316" s="74"/>
      <c r="C316" s="74"/>
      <c r="D316" s="74"/>
      <c r="E316" s="74"/>
      <c r="F316" s="74"/>
      <c r="G316" s="74"/>
      <c r="H316" s="137">
        <v>1729.72252622309</v>
      </c>
      <c r="I316" s="137">
        <f>SUM(I314:I315)</f>
        <v>1718.3427727610958</v>
      </c>
      <c r="J316" s="113"/>
    </row>
    <row r="317" spans="1:10" ht="13" x14ac:dyDescent="0.3">
      <c r="A317" s="91"/>
      <c r="J317" s="113"/>
    </row>
    <row r="318" spans="1:10" ht="13" x14ac:dyDescent="0.3">
      <c r="A318" s="91"/>
      <c r="J318" s="113"/>
    </row>
    <row r="319" spans="1:10" ht="13" x14ac:dyDescent="0.3">
      <c r="A319" s="91"/>
      <c r="B319" s="74"/>
      <c r="C319" s="74"/>
      <c r="D319" s="74"/>
      <c r="E319" s="74"/>
      <c r="F319" s="74"/>
      <c r="G319" s="74"/>
      <c r="H319" s="76">
        <v>28080.640734024022</v>
      </c>
      <c r="I319" s="76">
        <f>+I316+I311+I306+I300</f>
        <v>27900.049948162519</v>
      </c>
      <c r="J319" s="113"/>
    </row>
    <row r="320" spans="1:10" ht="13.5" thickBot="1" x14ac:dyDescent="0.35">
      <c r="A320" s="91"/>
      <c r="B320" s="104" t="str">
        <f>'Unit tariffs'!$B$7</f>
        <v>Administration Levy (Indirect Cost)</v>
      </c>
      <c r="C320" s="74"/>
      <c r="D320" s="106">
        <f>'Unit tariffs'!$C$7</f>
        <v>0.1</v>
      </c>
      <c r="E320" s="74" t="s">
        <v>311</v>
      </c>
      <c r="F320" s="186">
        <f>+'Unit tariffs'!$F$7</f>
        <v>10000</v>
      </c>
      <c r="G320" s="74"/>
      <c r="H320" s="108">
        <v>2808.0640734024023</v>
      </c>
      <c r="I320" s="108">
        <f>IF(I319*$D320&gt;='Unit tariffs'!$E$7,'Unit tariffs'!$E$7,I319*$D320)</f>
        <v>2790.0049948162523</v>
      </c>
      <c r="J320" s="113"/>
    </row>
    <row r="321" spans="1:10" ht="13.5" thickTop="1" x14ac:dyDescent="0.3">
      <c r="A321" s="91"/>
      <c r="B321" s="104" t="s">
        <v>44</v>
      </c>
      <c r="C321" s="74"/>
      <c r="D321" s="74"/>
      <c r="E321" s="74"/>
      <c r="F321" s="74"/>
      <c r="G321" s="74"/>
      <c r="H321" s="109">
        <v>30888.704807426424</v>
      </c>
      <c r="I321" s="109">
        <f>SUM(I319:I320)</f>
        <v>30690.054942978772</v>
      </c>
      <c r="J321" s="113"/>
    </row>
    <row r="322" spans="1:10" ht="13" x14ac:dyDescent="0.3">
      <c r="A322" s="91"/>
      <c r="B322" s="74"/>
      <c r="C322" s="74"/>
      <c r="D322" s="74"/>
      <c r="E322" s="74"/>
      <c r="F322" s="74"/>
      <c r="G322" s="74"/>
      <c r="H322" s="74"/>
      <c r="I322" s="74"/>
      <c r="J322" s="113"/>
    </row>
    <row r="323" spans="1:10" ht="13" x14ac:dyDescent="0.3">
      <c r="A323" s="91"/>
      <c r="B323" s="104" t="s">
        <v>45</v>
      </c>
      <c r="C323" s="74"/>
      <c r="D323" s="74"/>
      <c r="E323" s="74"/>
      <c r="F323" s="74"/>
      <c r="G323" s="74"/>
      <c r="H323" s="841">
        <v>30890</v>
      </c>
      <c r="I323" s="84">
        <f>ROUND(I321,-1)</f>
        <v>30690</v>
      </c>
      <c r="J323" s="113"/>
    </row>
    <row r="324" spans="1:10" ht="13" x14ac:dyDescent="0.3">
      <c r="A324" s="91"/>
      <c r="B324" s="74"/>
      <c r="C324" s="74"/>
      <c r="D324" s="74"/>
      <c r="E324" s="74"/>
      <c r="F324" s="74"/>
      <c r="G324" s="74"/>
      <c r="H324" s="76"/>
      <c r="I324" s="76"/>
      <c r="J324" s="113"/>
    </row>
    <row r="325" spans="1:10" ht="13" x14ac:dyDescent="0.3">
      <c r="A325" s="91"/>
      <c r="B325" s="74"/>
      <c r="C325" s="74"/>
      <c r="D325" s="74"/>
      <c r="E325" s="74"/>
      <c r="F325" s="74"/>
      <c r="G325" s="74"/>
      <c r="H325" s="112">
        <v>0.1155651859877212</v>
      </c>
      <c r="I325" s="112">
        <f>(I323-H323)/H323</f>
        <v>-6.4745872450631273E-3</v>
      </c>
      <c r="J325" s="113"/>
    </row>
    <row r="326" spans="1:10" s="717" customFormat="1" ht="13.5" thickBot="1" x14ac:dyDescent="0.35">
      <c r="A326" s="448"/>
      <c r="B326" s="123"/>
      <c r="C326" s="123"/>
      <c r="D326" s="123"/>
      <c r="E326" s="123"/>
      <c r="F326" s="123"/>
      <c r="G326" s="123"/>
      <c r="H326" s="130"/>
      <c r="I326" s="130"/>
      <c r="J326" s="454"/>
    </row>
    <row r="327" spans="1:10" ht="13.5" thickTop="1" x14ac:dyDescent="0.3">
      <c r="A327" s="91"/>
      <c r="J327" s="113"/>
    </row>
    <row r="328" spans="1:10" ht="32.25" customHeight="1" x14ac:dyDescent="0.3">
      <c r="A328" s="91"/>
      <c r="B328" s="92" t="s">
        <v>674</v>
      </c>
      <c r="C328" s="824"/>
      <c r="D328" s="824"/>
      <c r="E328" s="824"/>
      <c r="F328" s="824"/>
      <c r="G328" s="825"/>
      <c r="H328" s="810" t="s">
        <v>673</v>
      </c>
      <c r="I328" s="810" t="s">
        <v>673</v>
      </c>
      <c r="J328" s="113"/>
    </row>
    <row r="329" spans="1:10" ht="13" x14ac:dyDescent="0.3">
      <c r="A329" s="91"/>
      <c r="H329" s="103" t="s">
        <v>734</v>
      </c>
      <c r="I329" s="103" t="str">
        <f>+'Unit tariffs'!$F$11</f>
        <v>2026/2027</v>
      </c>
      <c r="J329" s="113"/>
    </row>
    <row r="330" spans="1:10" ht="13" x14ac:dyDescent="0.3">
      <c r="A330" s="91"/>
      <c r="C330" s="74"/>
      <c r="D330" s="74"/>
      <c r="E330" s="74"/>
      <c r="F330" s="74"/>
      <c r="G330" s="74"/>
      <c r="H330" s="74"/>
      <c r="I330" s="74"/>
      <c r="J330" s="113"/>
    </row>
    <row r="331" spans="1:10" ht="13" x14ac:dyDescent="0.3">
      <c r="A331" s="91"/>
      <c r="B331" s="104" t="s">
        <v>117</v>
      </c>
      <c r="C331" s="74"/>
      <c r="D331" s="74"/>
      <c r="E331" s="74"/>
      <c r="F331" s="74"/>
      <c r="G331" s="74"/>
      <c r="H331" s="74"/>
      <c r="I331" s="74"/>
      <c r="J331" s="113"/>
    </row>
    <row r="332" spans="1:10" ht="13" x14ac:dyDescent="0.3">
      <c r="A332" s="91"/>
      <c r="B332" s="74" t="s">
        <v>118</v>
      </c>
      <c r="C332" s="74"/>
      <c r="D332" s="74"/>
      <c r="E332" s="74"/>
      <c r="F332" s="74"/>
      <c r="G332" s="74"/>
      <c r="H332" s="74"/>
      <c r="I332" s="74"/>
      <c r="J332" s="113"/>
    </row>
    <row r="333" spans="1:10" ht="13" x14ac:dyDescent="0.3">
      <c r="A333" s="91"/>
      <c r="B333" s="74">
        <v>5</v>
      </c>
      <c r="C333" s="74" t="str">
        <f>'Unit tariffs'!B138</f>
        <v>Secondary Backbone - MV Peri Urban</v>
      </c>
      <c r="D333" s="74"/>
      <c r="E333" s="74"/>
      <c r="F333" s="74" t="str">
        <f>'Unit tariffs'!C$132</f>
        <v>per kVA</v>
      </c>
      <c r="G333" s="74"/>
      <c r="H333" s="76">
        <v>6080.031636140001</v>
      </c>
      <c r="I333" s="76">
        <f>VLOOKUP($C333,'Unit tariffs'!$B$21:$F$155,5,FALSE)*$B333</f>
        <v>6040.0314280074999</v>
      </c>
      <c r="J333" s="113"/>
    </row>
    <row r="334" spans="1:10" ht="13" x14ac:dyDescent="0.3">
      <c r="A334" s="91"/>
      <c r="B334" s="74">
        <v>5</v>
      </c>
      <c r="C334" s="74" t="str">
        <f>'Unit tariffs'!B139</f>
        <v>Secondary Backbone - LV Peri Urban</v>
      </c>
      <c r="D334" s="74"/>
      <c r="E334" s="74"/>
      <c r="F334" s="74" t="str">
        <f>'Unit tariffs'!C$133</f>
        <v>per kVA</v>
      </c>
      <c r="G334" s="74"/>
      <c r="H334" s="81">
        <v>9974.1282945920029</v>
      </c>
      <c r="I334" s="81">
        <f>VLOOKUP($C334,'Unit tariffs'!$B$21:$F$155,5,FALSE)*$B334</f>
        <v>9908.5090294960009</v>
      </c>
      <c r="J334" s="113"/>
    </row>
    <row r="335" spans="1:10" ht="13" x14ac:dyDescent="0.3">
      <c r="A335" s="91"/>
      <c r="B335" s="74"/>
      <c r="C335" s="74"/>
      <c r="D335" s="74"/>
      <c r="E335" s="74"/>
      <c r="F335" s="74"/>
      <c r="G335" s="74"/>
      <c r="H335" s="76">
        <v>16054.159930732003</v>
      </c>
      <c r="I335" s="76">
        <f>SUM(I333:I334)</f>
        <v>15948.540457503501</v>
      </c>
      <c r="J335" s="113"/>
    </row>
    <row r="336" spans="1:10" ht="13" x14ac:dyDescent="0.3">
      <c r="A336" s="91"/>
      <c r="B336" s="74"/>
      <c r="C336" s="74"/>
      <c r="D336" s="74"/>
      <c r="E336" s="74"/>
      <c r="F336" s="74"/>
      <c r="G336" s="74"/>
      <c r="H336" s="76"/>
      <c r="I336" s="76"/>
      <c r="J336" s="113"/>
    </row>
    <row r="337" spans="1:10" ht="13" x14ac:dyDescent="0.3">
      <c r="A337" s="91"/>
      <c r="B337" s="104" t="s">
        <v>41</v>
      </c>
      <c r="C337" s="74"/>
      <c r="D337" s="74"/>
      <c r="E337" s="74"/>
      <c r="F337" s="74"/>
      <c r="G337" s="74"/>
      <c r="H337" s="76"/>
      <c r="I337" s="76"/>
      <c r="J337" s="113"/>
    </row>
    <row r="338" spans="1:10" ht="13" x14ac:dyDescent="0.3">
      <c r="A338" s="91"/>
      <c r="B338" s="74">
        <v>1</v>
      </c>
      <c r="C338" s="74" t="str">
        <f>+'Unit tariffs'!B34</f>
        <v>METER:S/P WIRED PRE-PAID</v>
      </c>
      <c r="D338" s="74"/>
      <c r="E338" s="74"/>
      <c r="F338" s="74"/>
      <c r="G338" s="74"/>
      <c r="H338" s="76">
        <v>2156.5407359999999</v>
      </c>
      <c r="I338" s="76">
        <f>VLOOKUP($C338,'Unit tariffs'!$B$21:$F$123,5,FALSE)*$B338</f>
        <v>2142.3529679999997</v>
      </c>
      <c r="J338" s="113"/>
    </row>
    <row r="339" spans="1:10" ht="13" x14ac:dyDescent="0.3">
      <c r="A339" s="91"/>
      <c r="B339" s="74">
        <v>1</v>
      </c>
      <c r="C339" s="74" t="str">
        <f>+'Unit tariffs'!B43</f>
        <v>x 80 A circuit breaker (5kA) - Orange</v>
      </c>
      <c r="D339" s="74"/>
      <c r="E339" s="74"/>
      <c r="F339" s="74"/>
      <c r="G339" s="74"/>
      <c r="H339" s="76">
        <v>0</v>
      </c>
      <c r="I339" s="76">
        <f>VLOOKUP($C339,'Unit tariffs'!$B$21:$F$123,5,FALSE)*$B339</f>
        <v>0</v>
      </c>
      <c r="J339" s="113"/>
    </row>
    <row r="340" spans="1:10" ht="13" x14ac:dyDescent="0.3">
      <c r="A340" s="91"/>
      <c r="B340" s="74">
        <v>1</v>
      </c>
      <c r="C340" s="74" t="str">
        <f>+'Unit tariffs'!B21</f>
        <v>Installation material</v>
      </c>
      <c r="D340" s="74"/>
      <c r="E340" s="74"/>
      <c r="F340" s="74"/>
      <c r="G340" s="74"/>
      <c r="H340" s="81">
        <v>284.35400000000004</v>
      </c>
      <c r="I340" s="81">
        <f>VLOOKUP($C340,'Unit tariffs'!$B$21:$F$123,5,FALSE)*$B340</f>
        <v>282.48325</v>
      </c>
      <c r="J340" s="113"/>
    </row>
    <row r="341" spans="1:10" ht="13" x14ac:dyDescent="0.3">
      <c r="A341" s="91"/>
      <c r="B341" s="74"/>
      <c r="C341" s="74"/>
      <c r="D341" s="74"/>
      <c r="E341" s="74"/>
      <c r="F341" s="74"/>
      <c r="G341" s="74"/>
      <c r="H341" s="76">
        <v>2440.8947360000002</v>
      </c>
      <c r="I341" s="76">
        <f>SUM(I338:I340)</f>
        <v>2424.8362179999995</v>
      </c>
      <c r="J341" s="113"/>
    </row>
    <row r="342" spans="1:10" ht="13" x14ac:dyDescent="0.3">
      <c r="A342" s="91"/>
      <c r="B342" s="104" t="s">
        <v>42</v>
      </c>
      <c r="C342" s="74"/>
      <c r="D342" s="74"/>
      <c r="E342" s="74"/>
      <c r="F342" s="74"/>
      <c r="G342" s="74"/>
      <c r="H342" s="74"/>
      <c r="I342" s="74"/>
      <c r="J342" s="113"/>
    </row>
    <row r="343" spans="1:10" ht="13" x14ac:dyDescent="0.3">
      <c r="A343" s="91"/>
      <c r="B343" s="74"/>
      <c r="C343" s="74"/>
      <c r="D343" s="74"/>
      <c r="E343" s="74"/>
      <c r="F343" s="74"/>
      <c r="G343" s="74"/>
      <c r="H343" s="74"/>
      <c r="I343" s="74"/>
      <c r="J343" s="113"/>
    </row>
    <row r="344" spans="1:10" ht="13" x14ac:dyDescent="0.3">
      <c r="A344" s="91"/>
      <c r="B344" s="74">
        <v>1</v>
      </c>
      <c r="C344" s="74" t="str">
        <f>'Unit tariffs'!B122</f>
        <v>hour-compressor</v>
      </c>
      <c r="D344" s="74"/>
      <c r="E344" s="74"/>
      <c r="F344" s="74"/>
      <c r="G344" s="74"/>
      <c r="H344" s="76">
        <v>193.05337309220906</v>
      </c>
      <c r="I344" s="76">
        <f>VLOOKUP($C344,'Unit tariffs'!$B$21:$F$123,5,FALSE)*$B344</f>
        <v>191.78328511133924</v>
      </c>
      <c r="J344" s="113"/>
    </row>
    <row r="345" spans="1:10" ht="13" x14ac:dyDescent="0.3">
      <c r="A345" s="91"/>
      <c r="B345" s="74">
        <v>2</v>
      </c>
      <c r="C345" s="74" t="str">
        <f>'Unit tariffs'!B$85</f>
        <v>hour-artisan assistant</v>
      </c>
      <c r="D345" s="74"/>
      <c r="E345" s="74"/>
      <c r="F345" s="74"/>
      <c r="G345" s="74"/>
      <c r="H345" s="81">
        <v>279.64851692307695</v>
      </c>
      <c r="I345" s="81">
        <f>VLOOKUP($C345,'Unit tariffs'!$B$21:$F$123,5,FALSE)*$B345</f>
        <v>279.64851692307695</v>
      </c>
      <c r="J345" s="113"/>
    </row>
    <row r="346" spans="1:10" ht="13" x14ac:dyDescent="0.3">
      <c r="A346" s="91"/>
      <c r="B346" s="74"/>
      <c r="C346" s="74"/>
      <c r="D346" s="74"/>
      <c r="E346" s="74"/>
      <c r="F346" s="74"/>
      <c r="G346" s="74"/>
      <c r="H346" s="76">
        <v>472.70189001528604</v>
      </c>
      <c r="I346" s="76">
        <f>SUM(I344:I345)</f>
        <v>471.43180203441619</v>
      </c>
      <c r="J346" s="113"/>
    </row>
    <row r="347" spans="1:10" ht="13" x14ac:dyDescent="0.3">
      <c r="A347" s="91"/>
      <c r="B347" s="104" t="s">
        <v>43</v>
      </c>
      <c r="C347" s="74"/>
      <c r="D347" s="74"/>
      <c r="E347" s="74"/>
      <c r="F347" s="74"/>
      <c r="G347" s="74"/>
      <c r="H347" s="74"/>
      <c r="I347" s="74"/>
      <c r="J347" s="113"/>
    </row>
    <row r="348" spans="1:10" ht="13" x14ac:dyDescent="0.3">
      <c r="A348" s="91"/>
      <c r="B348" s="74"/>
      <c r="C348" s="74"/>
      <c r="D348" s="74"/>
      <c r="E348" s="74"/>
      <c r="F348" s="74"/>
      <c r="G348" s="74"/>
      <c r="H348" s="74"/>
      <c r="I348" s="74"/>
      <c r="J348" s="113"/>
    </row>
    <row r="349" spans="1:10" ht="13" x14ac:dyDescent="0.3">
      <c r="A349" s="91"/>
      <c r="B349" s="74">
        <v>30</v>
      </c>
      <c r="C349" s="74" t="str">
        <f>'Unit tariffs'!B$111</f>
        <v>km-truck with platform</v>
      </c>
      <c r="D349" s="74"/>
      <c r="E349" s="74"/>
      <c r="F349" s="74"/>
      <c r="G349" s="74"/>
      <c r="H349" s="76">
        <v>1488.2910406904116</v>
      </c>
      <c r="I349" s="76">
        <f>VLOOKUP($C349,'Unit tariffs'!$B$21:$F$123,5,FALSE)*$B349</f>
        <v>1478.4996522648166</v>
      </c>
      <c r="J349" s="113"/>
    </row>
    <row r="350" spans="1:10" ht="13" x14ac:dyDescent="0.3">
      <c r="A350" s="91"/>
      <c r="B350" s="74">
        <v>1</v>
      </c>
      <c r="C350" s="74" t="str">
        <f>'Unit tariffs'!B$112</f>
        <v>hour-truck with platform</v>
      </c>
      <c r="D350" s="74"/>
      <c r="E350" s="74"/>
      <c r="F350" s="74"/>
      <c r="G350" s="74"/>
      <c r="H350" s="76">
        <v>241.43148553267841</v>
      </c>
      <c r="I350" s="76">
        <f>VLOOKUP($C350,'Unit tariffs'!$B$21:$F$123,5,FALSE)*$B350</f>
        <v>239.8431204962792</v>
      </c>
      <c r="J350" s="113"/>
    </row>
    <row r="351" spans="1:10" ht="13" x14ac:dyDescent="0.3">
      <c r="A351" s="91"/>
      <c r="B351" s="74"/>
      <c r="C351" s="74"/>
      <c r="D351" s="74"/>
      <c r="E351" s="74"/>
      <c r="F351" s="74"/>
      <c r="G351" s="74"/>
      <c r="H351" s="137">
        <v>1729.72252622309</v>
      </c>
      <c r="I351" s="137">
        <f>SUM(I349:I350)</f>
        <v>1718.3427727610958</v>
      </c>
      <c r="J351" s="113"/>
    </row>
    <row r="352" spans="1:10" ht="13" x14ac:dyDescent="0.3">
      <c r="A352" s="91"/>
      <c r="J352" s="113"/>
    </row>
    <row r="353" spans="1:10" ht="13" x14ac:dyDescent="0.3">
      <c r="A353" s="91"/>
      <c r="J353" s="113"/>
    </row>
    <row r="354" spans="1:10" ht="13" x14ac:dyDescent="0.3">
      <c r="A354" s="91"/>
      <c r="B354" s="74"/>
      <c r="C354" s="74"/>
      <c r="D354" s="74"/>
      <c r="E354" s="74"/>
      <c r="F354" s="74"/>
      <c r="G354" s="74"/>
      <c r="H354" s="76">
        <v>20697.479082970378</v>
      </c>
      <c r="I354" s="76">
        <f>+I351+I346+I341+I335</f>
        <v>20563.151250299012</v>
      </c>
      <c r="J354" s="113"/>
    </row>
    <row r="355" spans="1:10" ht="13.5" thickBot="1" x14ac:dyDescent="0.35">
      <c r="A355" s="91"/>
      <c r="B355" s="104" t="str">
        <f>'Unit tariffs'!$B$7</f>
        <v>Administration Levy (Indirect Cost)</v>
      </c>
      <c r="C355" s="74"/>
      <c r="D355" s="106">
        <f>'Unit tariffs'!$C$7</f>
        <v>0.1</v>
      </c>
      <c r="E355" s="74" t="s">
        <v>311</v>
      </c>
      <c r="F355" s="186">
        <f>+'Unit tariffs'!$F$7</f>
        <v>10000</v>
      </c>
      <c r="G355" s="74"/>
      <c r="H355" s="108">
        <v>2069.7479082970381</v>
      </c>
      <c r="I355" s="108">
        <f>IF(I354*$D355&gt;='Unit tariffs'!$E$7,'Unit tariffs'!$E$7,I354*$D355)</f>
        <v>2056.3151250299011</v>
      </c>
      <c r="J355" s="113"/>
    </row>
    <row r="356" spans="1:10" ht="13.5" thickTop="1" x14ac:dyDescent="0.3">
      <c r="A356" s="91"/>
      <c r="B356" s="104" t="s">
        <v>44</v>
      </c>
      <c r="C356" s="74"/>
      <c r="D356" s="74"/>
      <c r="E356" s="74"/>
      <c r="F356" s="74"/>
      <c r="G356" s="74"/>
      <c r="H356" s="109">
        <v>22767.226991267416</v>
      </c>
      <c r="I356" s="109">
        <f>SUM(I354:I355)</f>
        <v>22619.466375328913</v>
      </c>
      <c r="J356" s="113"/>
    </row>
    <row r="357" spans="1:10" ht="13" x14ac:dyDescent="0.3">
      <c r="A357" s="91"/>
      <c r="B357" s="74"/>
      <c r="C357" s="74"/>
      <c r="D357" s="74"/>
      <c r="E357" s="74"/>
      <c r="F357" s="74"/>
      <c r="G357" s="74"/>
      <c r="H357" s="74"/>
      <c r="I357" s="74"/>
      <c r="J357" s="113"/>
    </row>
    <row r="358" spans="1:10" ht="13" x14ac:dyDescent="0.3">
      <c r="A358" s="91"/>
      <c r="B358" s="104" t="s">
        <v>45</v>
      </c>
      <c r="C358" s="74"/>
      <c r="D358" s="74"/>
      <c r="E358" s="74"/>
      <c r="F358" s="74"/>
      <c r="G358" s="74"/>
      <c r="H358" s="84">
        <v>22770</v>
      </c>
      <c r="I358" s="84">
        <f>ROUND(I356,-1)</f>
        <v>22620</v>
      </c>
      <c r="J358" s="113"/>
    </row>
    <row r="359" spans="1:10" ht="13" x14ac:dyDescent="0.3">
      <c r="A359" s="91"/>
      <c r="B359" s="74"/>
      <c r="C359" s="74"/>
      <c r="D359" s="74"/>
      <c r="E359" s="74"/>
      <c r="F359" s="74"/>
      <c r="G359" s="74"/>
      <c r="H359" s="112"/>
      <c r="I359" s="112"/>
      <c r="J359" s="113"/>
    </row>
    <row r="360" spans="1:10" ht="13" x14ac:dyDescent="0.3">
      <c r="A360" s="91"/>
      <c r="B360" s="74"/>
      <c r="C360" s="74"/>
      <c r="D360" s="74"/>
      <c r="E360" s="74"/>
      <c r="F360" s="74"/>
      <c r="G360" s="74"/>
      <c r="H360" s="112">
        <v>0.13154102271033147</v>
      </c>
      <c r="I360" s="112">
        <f>(I358-H358)/H358</f>
        <v>-6.587615283267457E-3</v>
      </c>
      <c r="J360" s="113"/>
    </row>
    <row r="361" spans="1:10" ht="13" x14ac:dyDescent="0.3">
      <c r="A361" s="91"/>
      <c r="B361" s="74"/>
      <c r="C361" s="74"/>
      <c r="D361" s="74"/>
      <c r="E361" s="74"/>
      <c r="F361" s="74"/>
      <c r="G361" s="74"/>
      <c r="H361" s="112"/>
      <c r="I361" s="112"/>
      <c r="J361" s="113"/>
    </row>
    <row r="362" spans="1:10" ht="13.5" thickBot="1" x14ac:dyDescent="0.35">
      <c r="A362" s="448"/>
      <c r="B362" s="123"/>
      <c r="C362" s="123"/>
      <c r="D362" s="123"/>
      <c r="E362" s="123"/>
      <c r="F362" s="123"/>
      <c r="G362" s="123"/>
      <c r="H362" s="130"/>
      <c r="I362" s="130"/>
      <c r="J362" s="113"/>
    </row>
    <row r="363" spans="1:10" ht="13.5" thickTop="1" x14ac:dyDescent="0.3">
      <c r="A363" s="91"/>
      <c r="B363" s="74"/>
      <c r="C363" s="74"/>
      <c r="D363" s="74"/>
      <c r="E363" s="74"/>
      <c r="F363" s="74"/>
      <c r="G363" s="74"/>
      <c r="H363" s="112"/>
      <c r="I363" s="112"/>
      <c r="J363" s="113"/>
    </row>
    <row r="364" spans="1:10" ht="39.75" customHeight="1" x14ac:dyDescent="0.3">
      <c r="A364" s="91"/>
      <c r="B364" s="92" t="s">
        <v>675</v>
      </c>
      <c r="C364" s="824"/>
      <c r="D364" s="824"/>
      <c r="E364" s="824"/>
      <c r="F364" s="824"/>
      <c r="G364" s="825"/>
      <c r="H364" s="103" t="str">
        <f>+'Unit tariffs'!$E$11</f>
        <v>2025/2026</v>
      </c>
      <c r="I364" s="103" t="str">
        <f>+'Unit tariffs'!$F$11</f>
        <v>2026/2027</v>
      </c>
      <c r="J364" s="113"/>
    </row>
    <row r="365" spans="1:10" ht="13" x14ac:dyDescent="0.3">
      <c r="A365" s="91"/>
      <c r="B365" s="74"/>
      <c r="H365" s="103"/>
      <c r="I365" s="103"/>
      <c r="J365" s="113"/>
    </row>
    <row r="366" spans="1:10" ht="39" x14ac:dyDescent="0.3">
      <c r="A366" s="91"/>
      <c r="B366" s="74"/>
      <c r="C366" s="74"/>
      <c r="D366" s="74"/>
      <c r="E366" s="74"/>
      <c r="F366" s="74"/>
      <c r="G366" s="74"/>
      <c r="H366" s="131" t="s">
        <v>458</v>
      </c>
      <c r="I366" s="131" t="s">
        <v>458</v>
      </c>
      <c r="J366" s="113"/>
    </row>
    <row r="367" spans="1:10" ht="13" x14ac:dyDescent="0.3">
      <c r="A367" s="91"/>
      <c r="B367" s="74"/>
      <c r="C367" s="74"/>
      <c r="D367" s="74"/>
      <c r="E367" s="74"/>
      <c r="F367" s="74"/>
      <c r="G367" s="74"/>
      <c r="H367" s="112"/>
      <c r="I367" s="112"/>
      <c r="J367" s="113"/>
    </row>
    <row r="368" spans="1:10" ht="13" x14ac:dyDescent="0.3">
      <c r="A368" s="91"/>
      <c r="B368" s="74"/>
      <c r="C368" s="74"/>
      <c r="D368" s="74"/>
      <c r="E368" s="74"/>
      <c r="F368" s="74"/>
      <c r="G368" s="74"/>
      <c r="H368" s="112"/>
      <c r="I368" s="112"/>
      <c r="J368" s="113"/>
    </row>
    <row r="369" spans="1:10" ht="13.5" thickBot="1" x14ac:dyDescent="0.35">
      <c r="A369" s="448"/>
      <c r="B369" s="123"/>
      <c r="C369" s="123"/>
      <c r="D369" s="123"/>
      <c r="E369" s="123"/>
      <c r="F369" s="123"/>
      <c r="G369" s="123"/>
      <c r="H369" s="130"/>
      <c r="I369" s="130"/>
      <c r="J369" s="113"/>
    </row>
    <row r="370" spans="1:10" ht="13.5" thickTop="1" x14ac:dyDescent="0.3">
      <c r="A370" s="91"/>
      <c r="B370" s="74"/>
      <c r="C370" s="74"/>
      <c r="D370" s="74"/>
      <c r="E370" s="74"/>
      <c r="F370" s="74"/>
      <c r="G370" s="74"/>
      <c r="H370" s="112"/>
      <c r="I370" s="112"/>
      <c r="J370" s="113"/>
    </row>
    <row r="371" spans="1:10" ht="13.5" thickBot="1" x14ac:dyDescent="0.35">
      <c r="A371" s="448"/>
      <c r="B371" s="123"/>
      <c r="C371" s="123"/>
      <c r="D371" s="123"/>
      <c r="E371" s="123"/>
      <c r="F371" s="123"/>
      <c r="G371" s="123"/>
      <c r="H371" s="130"/>
      <c r="I371" s="130"/>
      <c r="J371" s="113"/>
    </row>
    <row r="372" spans="1:10" ht="13.5" thickTop="1" x14ac:dyDescent="0.3">
      <c r="A372" s="91"/>
      <c r="B372" s="74"/>
      <c r="C372" s="74"/>
      <c r="D372" s="74"/>
      <c r="E372" s="74"/>
      <c r="F372" s="74"/>
      <c r="G372" s="74"/>
      <c r="H372" s="74"/>
      <c r="I372" s="74"/>
      <c r="J372" s="95"/>
    </row>
    <row r="373" spans="1:10" ht="36.5" customHeight="1" x14ac:dyDescent="0.3">
      <c r="A373" s="91"/>
      <c r="B373" s="147" t="s">
        <v>714</v>
      </c>
      <c r="C373" s="826"/>
      <c r="D373" s="826"/>
      <c r="E373" s="826"/>
      <c r="F373" s="826"/>
      <c r="G373" s="827"/>
      <c r="H373" s="808" t="s">
        <v>662</v>
      </c>
      <c r="I373" s="808" t="s">
        <v>662</v>
      </c>
      <c r="J373" s="95"/>
    </row>
    <row r="374" spans="1:10" ht="13" x14ac:dyDescent="0.3">
      <c r="A374" s="91"/>
      <c r="B374" s="74"/>
      <c r="C374" s="74"/>
      <c r="D374" s="74"/>
      <c r="E374" s="74"/>
      <c r="F374" s="74"/>
      <c r="G374" s="74"/>
      <c r="H374" s="809"/>
      <c r="I374" s="809"/>
      <c r="J374" s="95"/>
    </row>
    <row r="375" spans="1:10" ht="13" x14ac:dyDescent="0.3">
      <c r="A375" s="91"/>
      <c r="B375" s="74" t="s">
        <v>1</v>
      </c>
      <c r="C375" s="74"/>
      <c r="D375" s="74"/>
      <c r="E375" s="74"/>
      <c r="F375" s="74"/>
      <c r="G375" s="74"/>
      <c r="H375" s="74"/>
      <c r="I375" s="74"/>
      <c r="J375" s="95"/>
    </row>
    <row r="376" spans="1:10" ht="13" x14ac:dyDescent="0.3">
      <c r="A376" s="91"/>
      <c r="B376" s="74"/>
      <c r="C376" s="74"/>
      <c r="D376" s="74"/>
      <c r="E376" s="74"/>
      <c r="F376" s="74"/>
      <c r="G376" s="74"/>
      <c r="H376" s="103" t="str">
        <f>+'Unit tariffs'!$E$11</f>
        <v>2025/2026</v>
      </c>
      <c r="I376" s="103" t="str">
        <f>+'Unit tariffs'!$F$11</f>
        <v>2026/2027</v>
      </c>
      <c r="J376" s="444" t="s">
        <v>313</v>
      </c>
    </row>
    <row r="377" spans="1:10" ht="13" x14ac:dyDescent="0.3">
      <c r="A377" s="91"/>
      <c r="B377" s="104" t="s">
        <v>41</v>
      </c>
      <c r="C377" s="74"/>
      <c r="D377" s="74"/>
      <c r="E377" s="74"/>
      <c r="F377" s="74"/>
      <c r="G377" s="74"/>
      <c r="H377" s="74"/>
      <c r="I377" s="74"/>
      <c r="J377" s="95"/>
    </row>
    <row r="378" spans="1:10" ht="13" x14ac:dyDescent="0.3">
      <c r="A378" s="91"/>
      <c r="B378" s="74"/>
      <c r="C378" s="74"/>
      <c r="D378" s="74"/>
      <c r="E378" s="74"/>
      <c r="F378" s="74"/>
      <c r="G378" s="74"/>
      <c r="H378" s="74"/>
      <c r="I378" s="74"/>
      <c r="J378" s="95"/>
    </row>
    <row r="379" spans="1:10" ht="13" x14ac:dyDescent="0.3">
      <c r="A379" s="91"/>
      <c r="B379" s="74">
        <v>1</v>
      </c>
      <c r="C379" s="74" t="str">
        <f>+'Unit tariffs'!B32</f>
        <v>TOU kWh meter - 80- 120Amp 220/240V</v>
      </c>
      <c r="D379" s="74"/>
      <c r="E379" s="74"/>
      <c r="F379" s="74"/>
      <c r="G379" s="74"/>
      <c r="H379" s="76">
        <v>5436.8484799999997</v>
      </c>
      <c r="I379" s="76">
        <f>VLOOKUP($C379,'Unit tariffs'!$B$21:$F$123,5,FALSE)*$B379</f>
        <v>5401.0797399999992</v>
      </c>
      <c r="J379" s="457" t="e">
        <f>IF(+I379*'Unit tariffs'!#REF!&gt;'Unit tariffs'!#REF!,'Unit tariffs'!#REF!,+I379*'Unit tariffs'!#REF!)</f>
        <v>#REF!</v>
      </c>
    </row>
    <row r="380" spans="1:10" ht="13" x14ac:dyDescent="0.3">
      <c r="A380" s="91"/>
      <c r="B380" s="74">
        <v>1</v>
      </c>
      <c r="C380" s="74" t="str">
        <f>'Unit tariffs'!B43</f>
        <v>x 80 A circuit breaker (5kA) - Orange</v>
      </c>
      <c r="D380" s="74"/>
      <c r="E380" s="74"/>
      <c r="F380" s="74"/>
      <c r="G380" s="74"/>
      <c r="H380" s="76">
        <v>0</v>
      </c>
      <c r="I380" s="76">
        <f>VLOOKUP($C380,'Unit tariffs'!$B$21:$F$123,5,FALSE)*$B380</f>
        <v>0</v>
      </c>
      <c r="J380" s="457" t="e">
        <f>IF(+I380*'Unit tariffs'!#REF!&gt;'Unit tariffs'!#REF!,'Unit tariffs'!#REF!,+I380*'Unit tariffs'!#REF!)</f>
        <v>#REF!</v>
      </c>
    </row>
    <row r="381" spans="1:10" ht="13" x14ac:dyDescent="0.3">
      <c r="A381" s="91"/>
      <c r="B381" s="74">
        <v>1</v>
      </c>
      <c r="C381" s="74" t="s">
        <v>17</v>
      </c>
      <c r="D381" s="74"/>
      <c r="E381" s="74"/>
      <c r="F381" s="74"/>
      <c r="G381" s="74"/>
      <c r="H381" s="81">
        <v>284.35400000000004</v>
      </c>
      <c r="I381" s="81">
        <f>VLOOKUP($C381,'Unit tariffs'!$B$21:$F$123,5,FALSE)*$B381</f>
        <v>282.48325</v>
      </c>
      <c r="J381" s="457" t="e">
        <f>IF(+I381*'Unit tariffs'!#REF!&gt;'Unit tariffs'!#REF!,'Unit tariffs'!#REF!,+I381*'Unit tariffs'!#REF!)</f>
        <v>#REF!</v>
      </c>
    </row>
    <row r="382" spans="1:10" ht="13" x14ac:dyDescent="0.3">
      <c r="A382" s="91"/>
      <c r="B382" s="74"/>
      <c r="C382" s="74"/>
      <c r="D382" s="74"/>
      <c r="E382" s="74"/>
      <c r="F382" s="74"/>
      <c r="G382" s="74"/>
      <c r="H382" s="76">
        <v>5721.2024799999999</v>
      </c>
      <c r="I382" s="76">
        <f>SUM(I379:I381)</f>
        <v>5683.5629899999994</v>
      </c>
      <c r="J382" s="105"/>
    </row>
    <row r="383" spans="1:10" ht="13" x14ac:dyDescent="0.3">
      <c r="A383" s="91"/>
      <c r="B383" s="104"/>
      <c r="C383" s="74"/>
      <c r="D383" s="106"/>
      <c r="E383" s="74"/>
      <c r="F383" s="186"/>
      <c r="G383" s="74"/>
      <c r="H383" s="188"/>
      <c r="I383" s="188"/>
      <c r="J383" s="105"/>
    </row>
    <row r="384" spans="1:10" ht="13" x14ac:dyDescent="0.3">
      <c r="A384" s="91"/>
      <c r="B384" s="74"/>
      <c r="C384" s="74"/>
      <c r="D384" s="74"/>
      <c r="E384" s="74"/>
      <c r="F384" s="74"/>
      <c r="G384" s="76"/>
      <c r="H384" s="76"/>
      <c r="I384" s="76"/>
      <c r="J384" s="105"/>
    </row>
    <row r="385" spans="1:10" ht="13" x14ac:dyDescent="0.3">
      <c r="A385" s="91"/>
      <c r="B385" s="104" t="s">
        <v>42</v>
      </c>
      <c r="C385" s="74"/>
      <c r="D385" s="74"/>
      <c r="E385" s="74"/>
      <c r="F385" s="74"/>
      <c r="G385" s="74"/>
      <c r="H385" s="74"/>
      <c r="I385" s="74"/>
      <c r="J385" s="95"/>
    </row>
    <row r="386" spans="1:10" ht="13" x14ac:dyDescent="0.3">
      <c r="A386" s="91"/>
      <c r="B386" s="74"/>
      <c r="C386" s="74"/>
      <c r="D386" s="74"/>
      <c r="E386" s="74"/>
      <c r="F386" s="74"/>
      <c r="G386" s="74"/>
      <c r="H386" s="74"/>
      <c r="I386" s="74"/>
      <c r="J386" s="95"/>
    </row>
    <row r="387" spans="1:10" ht="13" x14ac:dyDescent="0.3">
      <c r="A387" s="91"/>
      <c r="B387" s="74">
        <v>1</v>
      </c>
      <c r="C387" s="74" t="str">
        <f>'Unit tariffs'!B$87</f>
        <v xml:space="preserve">hour-artisan </v>
      </c>
      <c r="D387" s="74"/>
      <c r="E387" s="74"/>
      <c r="F387" s="74"/>
      <c r="G387" s="74"/>
      <c r="H387" s="76">
        <v>351.19276615384621</v>
      </c>
      <c r="I387" s="76">
        <f>VLOOKUP($C387,'Unit tariffs'!$B$21:$F$123,5,FALSE)*$B387</f>
        <v>351.19276615384621</v>
      </c>
      <c r="J387" s="105"/>
    </row>
    <row r="388" spans="1:10" ht="13" x14ac:dyDescent="0.3">
      <c r="A388" s="91"/>
      <c r="B388" s="74">
        <v>2</v>
      </c>
      <c r="C388" s="74" t="str">
        <f>'Unit tariffs'!B$85</f>
        <v>hour-artisan assistant</v>
      </c>
      <c r="D388" s="74"/>
      <c r="E388" s="74"/>
      <c r="F388" s="74"/>
      <c r="G388" s="74"/>
      <c r="H388" s="81">
        <v>279.64851692307695</v>
      </c>
      <c r="I388" s="81">
        <f>VLOOKUP($C388,'Unit tariffs'!$B$21:$F$123,5,FALSE)*$B388</f>
        <v>279.64851692307695</v>
      </c>
      <c r="J388" s="105"/>
    </row>
    <row r="389" spans="1:10" ht="13" x14ac:dyDescent="0.3">
      <c r="A389" s="91"/>
      <c r="B389" s="74"/>
      <c r="C389" s="74"/>
      <c r="D389" s="74"/>
      <c r="E389" s="74"/>
      <c r="F389" s="74"/>
      <c r="G389" s="74"/>
      <c r="H389" s="76">
        <v>630.84128307692322</v>
      </c>
      <c r="I389" s="76">
        <f>SUM(I387:I388)</f>
        <v>630.84128307692322</v>
      </c>
      <c r="J389" s="105"/>
    </row>
    <row r="390" spans="1:10" ht="13" x14ac:dyDescent="0.3">
      <c r="A390" s="91"/>
      <c r="B390" s="104" t="s">
        <v>43</v>
      </c>
      <c r="C390" s="74"/>
      <c r="D390" s="74"/>
      <c r="E390" s="74"/>
      <c r="F390" s="74"/>
      <c r="G390" s="74"/>
      <c r="H390" s="74"/>
      <c r="I390" s="74"/>
      <c r="J390" s="95"/>
    </row>
    <row r="391" spans="1:10" ht="13" x14ac:dyDescent="0.3">
      <c r="A391" s="91"/>
      <c r="B391" s="74"/>
      <c r="C391" s="74"/>
      <c r="D391" s="74"/>
      <c r="E391" s="74"/>
      <c r="F391" s="74"/>
      <c r="G391" s="74"/>
      <c r="H391" s="74"/>
      <c r="I391" s="74"/>
      <c r="J391" s="95"/>
    </row>
    <row r="392" spans="1:10" ht="13" x14ac:dyDescent="0.3">
      <c r="A392" s="91"/>
      <c r="B392" s="74">
        <v>24</v>
      </c>
      <c r="C392" s="74" t="str">
        <f>'Unit tariffs'!B$111</f>
        <v>km-truck with platform</v>
      </c>
      <c r="D392" s="74"/>
      <c r="E392" s="74"/>
      <c r="F392" s="74"/>
      <c r="G392" s="74"/>
      <c r="H392" s="76">
        <v>1190.6328325523293</v>
      </c>
      <c r="I392" s="76">
        <f>VLOOKUP($C392,'Unit tariffs'!$B$21:$F$123,5,FALSE)*$B392</f>
        <v>1182.7997218118533</v>
      </c>
      <c r="J392" s="105"/>
    </row>
    <row r="393" spans="1:10" ht="13" x14ac:dyDescent="0.3">
      <c r="A393" s="91"/>
      <c r="B393" s="74">
        <v>1</v>
      </c>
      <c r="C393" s="74" t="str">
        <f>'Unit tariffs'!B$112</f>
        <v>hour-truck with platform</v>
      </c>
      <c r="D393" s="74"/>
      <c r="E393" s="74"/>
      <c r="F393" s="74"/>
      <c r="G393" s="74"/>
      <c r="H393" s="76">
        <v>241.43148553267841</v>
      </c>
      <c r="I393" s="76">
        <f>VLOOKUP($C393,'Unit tariffs'!$B$21:$F$123,5,FALSE)*$B393</f>
        <v>239.8431204962792</v>
      </c>
      <c r="J393" s="105"/>
    </row>
    <row r="394" spans="1:10" ht="13" x14ac:dyDescent="0.3">
      <c r="A394" s="91"/>
      <c r="B394" s="74"/>
      <c r="C394" s="74"/>
      <c r="D394" s="74"/>
      <c r="E394" s="74"/>
      <c r="F394" s="74"/>
      <c r="G394" s="74"/>
      <c r="H394" s="137">
        <v>1432.0643180850077</v>
      </c>
      <c r="I394" s="137">
        <f>SUM(I392:I393)</f>
        <v>1422.6428423081325</v>
      </c>
      <c r="J394" s="105"/>
    </row>
    <row r="395" spans="1:10" ht="13" x14ac:dyDescent="0.3">
      <c r="A395" s="91"/>
      <c r="J395" s="105"/>
    </row>
    <row r="396" spans="1:10" ht="13" x14ac:dyDescent="0.3">
      <c r="A396" s="91"/>
      <c r="J396" s="105"/>
    </row>
    <row r="397" spans="1:10" ht="13" x14ac:dyDescent="0.3">
      <c r="A397" s="91"/>
      <c r="B397" s="74"/>
      <c r="C397" s="74"/>
      <c r="D397" s="74"/>
      <c r="E397" s="74"/>
      <c r="F397" s="74"/>
      <c r="G397" s="76"/>
      <c r="H397" s="76">
        <v>7784.1080811619304</v>
      </c>
      <c r="I397" s="76">
        <f>I394+I389+I382</f>
        <v>7737.0471153850549</v>
      </c>
      <c r="J397" s="105"/>
    </row>
    <row r="398" spans="1:10" ht="13.5" thickBot="1" x14ac:dyDescent="0.35">
      <c r="A398" s="91"/>
      <c r="B398" s="104" t="str">
        <f>'Unit tariffs'!$B$7</f>
        <v>Administration Levy (Indirect Cost)</v>
      </c>
      <c r="C398" s="74"/>
      <c r="D398" s="106">
        <f>'Unit tariffs'!$C$7</f>
        <v>0.1</v>
      </c>
      <c r="E398" s="74" t="s">
        <v>311</v>
      </c>
      <c r="F398" s="186">
        <f>+'Unit tariffs'!$F$7</f>
        <v>10000</v>
      </c>
      <c r="G398" s="76"/>
      <c r="H398" s="108">
        <v>778.41080811619304</v>
      </c>
      <c r="I398" s="108">
        <f>IF(I397*$D398&gt;='Unit tariffs'!$E$7,'Unit tariffs'!$E$7,I397*$D398)</f>
        <v>773.70471153850553</v>
      </c>
      <c r="J398" s="105"/>
    </row>
    <row r="399" spans="1:10" ht="13.5" thickTop="1" x14ac:dyDescent="0.3">
      <c r="A399" s="91"/>
      <c r="B399" s="104" t="s">
        <v>44</v>
      </c>
      <c r="C399" s="74"/>
      <c r="D399" s="74"/>
      <c r="E399" s="74"/>
      <c r="F399" s="74"/>
      <c r="G399" s="76"/>
      <c r="H399" s="109">
        <v>8562.5188892781225</v>
      </c>
      <c r="I399" s="109">
        <f>SUM(I397:I398)</f>
        <v>8510.7518269235607</v>
      </c>
      <c r="J399" s="110"/>
    </row>
    <row r="400" spans="1:10" ht="13" x14ac:dyDescent="0.3">
      <c r="A400" s="91"/>
      <c r="B400" s="104"/>
      <c r="C400" s="74"/>
      <c r="D400" s="74"/>
      <c r="E400" s="74"/>
      <c r="F400" s="74"/>
      <c r="G400" s="76"/>
      <c r="H400" s="76"/>
      <c r="I400" s="76"/>
      <c r="J400" s="105"/>
    </row>
    <row r="401" spans="1:12" ht="13" x14ac:dyDescent="0.3">
      <c r="A401" s="91"/>
      <c r="B401" s="104" t="s">
        <v>45</v>
      </c>
      <c r="C401" s="74"/>
      <c r="D401" s="74"/>
      <c r="E401" s="74"/>
      <c r="F401" s="74"/>
      <c r="G401" s="74"/>
      <c r="H401" s="84">
        <v>8560</v>
      </c>
      <c r="I401" s="84">
        <f>ROUND(I399,-1)</f>
        <v>8510</v>
      </c>
      <c r="J401" s="113"/>
    </row>
    <row r="402" spans="1:12" ht="13" x14ac:dyDescent="0.3">
      <c r="A402" s="91"/>
      <c r="B402" s="74"/>
      <c r="C402" s="74"/>
      <c r="D402" s="74"/>
      <c r="E402" s="74"/>
      <c r="F402" s="74"/>
      <c r="G402" s="74"/>
      <c r="H402" s="76"/>
      <c r="I402" s="76"/>
      <c r="J402" s="113"/>
    </row>
    <row r="403" spans="1:12" ht="13" x14ac:dyDescent="0.3">
      <c r="A403" s="91"/>
      <c r="B403" s="74"/>
      <c r="C403" s="74"/>
      <c r="D403" s="74"/>
      <c r="E403" s="74"/>
      <c r="F403" s="74"/>
      <c r="G403" s="74"/>
      <c r="H403" s="112">
        <v>-2.331002331002331E-3</v>
      </c>
      <c r="I403" s="112">
        <f>(+I401-H401)/H401</f>
        <v>-5.8411214953271026E-3</v>
      </c>
      <c r="J403" s="113"/>
    </row>
    <row r="404" spans="1:12" ht="13.5" thickBot="1" x14ac:dyDescent="0.35">
      <c r="A404" s="448"/>
      <c r="B404" s="123"/>
      <c r="C404" s="123"/>
      <c r="D404" s="123"/>
      <c r="E404" s="123"/>
      <c r="F404" s="123"/>
      <c r="G404" s="123"/>
      <c r="H404" s="130"/>
      <c r="I404" s="130"/>
      <c r="J404" s="113"/>
    </row>
    <row r="405" spans="1:12" ht="13.5" thickTop="1" x14ac:dyDescent="0.3">
      <c r="A405" s="91"/>
      <c r="B405" s="74"/>
      <c r="C405" s="74"/>
      <c r="D405" s="74"/>
      <c r="E405" s="74"/>
      <c r="F405" s="74"/>
      <c r="G405" s="74"/>
      <c r="H405" s="112"/>
      <c r="I405" s="112"/>
      <c r="J405" s="113"/>
    </row>
    <row r="406" spans="1:12" ht="30.75" customHeight="1" x14ac:dyDescent="0.3">
      <c r="A406" s="91"/>
      <c r="B406" s="828" t="s">
        <v>715</v>
      </c>
      <c r="C406" s="831"/>
      <c r="D406" s="831"/>
      <c r="E406" s="831"/>
      <c r="F406" s="831"/>
      <c r="G406" s="832"/>
      <c r="H406" s="810" t="s">
        <v>242</v>
      </c>
      <c r="I406" s="810" t="s">
        <v>242</v>
      </c>
      <c r="J406" s="95"/>
    </row>
    <row r="407" spans="1:12" ht="13" x14ac:dyDescent="0.3">
      <c r="A407" s="91"/>
      <c r="B407" s="74"/>
      <c r="C407" s="74"/>
      <c r="D407" s="74"/>
      <c r="E407" s="74"/>
      <c r="F407" s="74"/>
      <c r="G407" s="74"/>
      <c r="H407" s="103" t="s">
        <v>734</v>
      </c>
      <c r="I407" s="103" t="str">
        <f>+'Unit tariffs'!$F$11</f>
        <v>2026/2027</v>
      </c>
      <c r="J407" s="444" t="s">
        <v>313</v>
      </c>
    </row>
    <row r="408" spans="1:12" ht="13" x14ac:dyDescent="0.3">
      <c r="A408" s="91"/>
      <c r="B408" s="74"/>
      <c r="C408" s="74"/>
      <c r="D408" s="74"/>
      <c r="E408" s="74"/>
      <c r="F408" s="74"/>
      <c r="G408" s="74"/>
      <c r="H408" s="74"/>
      <c r="I408" s="74"/>
      <c r="J408" s="95"/>
      <c r="L408" s="348"/>
    </row>
    <row r="409" spans="1:12" ht="13" x14ac:dyDescent="0.3">
      <c r="A409" s="91"/>
      <c r="B409" s="104" t="s">
        <v>117</v>
      </c>
      <c r="C409" s="74"/>
      <c r="D409" s="85"/>
      <c r="E409" s="85"/>
      <c r="F409" s="85"/>
      <c r="G409" s="85"/>
      <c r="H409" s="707"/>
      <c r="I409" s="707"/>
      <c r="J409" s="95"/>
      <c r="L409" s="348"/>
    </row>
    <row r="410" spans="1:12" ht="13" x14ac:dyDescent="0.3">
      <c r="A410" s="91"/>
      <c r="B410" s="74" t="s">
        <v>118</v>
      </c>
      <c r="C410" s="74"/>
      <c r="D410" s="85"/>
      <c r="E410" s="85"/>
      <c r="F410" s="85"/>
      <c r="G410" s="85"/>
      <c r="H410" s="707"/>
      <c r="I410" s="707"/>
      <c r="J410" s="95"/>
      <c r="L410" s="348"/>
    </row>
    <row r="411" spans="1:12" ht="13" x14ac:dyDescent="0.3">
      <c r="A411" s="91"/>
      <c r="B411" s="74">
        <v>5</v>
      </c>
      <c r="C411" s="74" t="str">
        <f>'Unit tariffs'!B137</f>
        <v>Primary Backbone - Peri Urban</v>
      </c>
      <c r="D411" s="85"/>
      <c r="E411" s="74"/>
      <c r="F411" s="74" t="str">
        <f>'Unit tariffs'!C$132</f>
        <v>per kVA</v>
      </c>
      <c r="G411" s="85"/>
      <c r="H411" s="76">
        <v>7225.0222579920028</v>
      </c>
      <c r="I411" s="76">
        <f>VLOOKUP($C411,'Unit tariffs'!$B$21:$F$158,5,FALSE)*$B411</f>
        <v>7177.4892168210008</v>
      </c>
      <c r="J411" s="95"/>
      <c r="L411" s="348"/>
    </row>
    <row r="412" spans="1:12" ht="13" x14ac:dyDescent="0.3">
      <c r="A412" s="91"/>
      <c r="B412" s="74">
        <v>5</v>
      </c>
      <c r="C412" s="74" t="str">
        <f>'Unit tariffs'!B138</f>
        <v>Secondary Backbone - MV Peri Urban</v>
      </c>
      <c r="D412" s="85"/>
      <c r="E412" s="74"/>
      <c r="F412" s="74" t="str">
        <f>'Unit tariffs'!C$132</f>
        <v>per kVA</v>
      </c>
      <c r="G412" s="85"/>
      <c r="H412" s="76">
        <v>6080.031636140001</v>
      </c>
      <c r="I412" s="76">
        <f>VLOOKUP($C412,'Unit tariffs'!$B$21:$F$158,5,FALSE)*$B412</f>
        <v>6040.0314280074999</v>
      </c>
      <c r="J412" s="95"/>
      <c r="L412" s="348"/>
    </row>
    <row r="413" spans="1:12" ht="13" x14ac:dyDescent="0.3">
      <c r="A413" s="91"/>
      <c r="B413" s="74">
        <v>5</v>
      </c>
      <c r="C413" s="74" t="str">
        <f>'Unit tariffs'!B139</f>
        <v>Secondary Backbone - LV Peri Urban</v>
      </c>
      <c r="D413" s="85"/>
      <c r="E413" s="74"/>
      <c r="F413" s="74" t="str">
        <f>'Unit tariffs'!C$133</f>
        <v>per kVA</v>
      </c>
      <c r="G413" s="85"/>
      <c r="H413" s="81">
        <v>9974.1282945920029</v>
      </c>
      <c r="I413" s="81">
        <f>VLOOKUP($C413,'Unit tariffs'!$B$21:$F$158,5,FALSE)*$B413</f>
        <v>9908.5090294960009</v>
      </c>
      <c r="J413" s="95"/>
      <c r="L413" s="348"/>
    </row>
    <row r="414" spans="1:12" ht="13" x14ac:dyDescent="0.3">
      <c r="A414" s="91"/>
      <c r="B414" s="646"/>
      <c r="C414" s="646"/>
      <c r="D414" s="709"/>
      <c r="E414" s="646"/>
      <c r="F414" s="646"/>
      <c r="G414" s="85"/>
      <c r="H414" s="76">
        <v>23279.182188724008</v>
      </c>
      <c r="I414" s="76">
        <f>SUM(I411:I413)</f>
        <v>23126.029674324502</v>
      </c>
      <c r="J414" s="95"/>
      <c r="L414" s="348"/>
    </row>
    <row r="415" spans="1:12" ht="13" x14ac:dyDescent="0.3">
      <c r="A415" s="91"/>
      <c r="B415" s="104" t="s">
        <v>41</v>
      </c>
      <c r="C415" s="74"/>
      <c r="D415" s="74"/>
      <c r="E415" s="74"/>
      <c r="F415" s="74"/>
      <c r="G415" s="74"/>
      <c r="H415" s="74"/>
      <c r="I415" s="74"/>
      <c r="J415" s="95"/>
    </row>
    <row r="416" spans="1:12" ht="13" x14ac:dyDescent="0.3">
      <c r="A416" s="91"/>
      <c r="B416" s="74">
        <v>1</v>
      </c>
      <c r="C416" t="s">
        <v>312</v>
      </c>
      <c r="D416" s="74"/>
      <c r="E416" s="74"/>
      <c r="F416" s="74"/>
      <c r="G416" s="74"/>
      <c r="H416" s="189">
        <v>0</v>
      </c>
      <c r="I416" s="189">
        <f>VLOOKUP($C416,'Unit tariffs'!$B$21:$F$123,5,FALSE)*$B416</f>
        <v>0</v>
      </c>
      <c r="J416" s="457" t="e">
        <f>IF(+I416*'Unit tariffs'!#REF!&gt;'Unit tariffs'!#REF!,'Unit tariffs'!#REF!,+I416*'Unit tariffs'!#REF!)</f>
        <v>#REF!</v>
      </c>
      <c r="L416" s="76"/>
    </row>
    <row r="417" spans="1:12" ht="13" x14ac:dyDescent="0.3">
      <c r="A417" s="91"/>
      <c r="B417" s="74">
        <v>1</v>
      </c>
      <c r="C417" s="74" t="s">
        <v>99</v>
      </c>
      <c r="D417" s="74"/>
      <c r="E417" s="74"/>
      <c r="F417" s="74"/>
      <c r="G417" s="74"/>
      <c r="H417" s="189">
        <v>0</v>
      </c>
      <c r="I417" s="189">
        <f>VLOOKUP($C417,'Unit tariffs'!$B$21:$F$123,5,FALSE)*$B417</f>
        <v>0</v>
      </c>
      <c r="J417" s="457" t="e">
        <f>IF(+I417*'Unit tariffs'!#REF!&gt;'Unit tariffs'!#REF!,'Unit tariffs'!#REF!,+I417*'Unit tariffs'!#REF!)</f>
        <v>#REF!</v>
      </c>
      <c r="L417" s="76"/>
    </row>
    <row r="418" spans="1:12" ht="13" x14ac:dyDescent="0.3">
      <c r="A418" s="91"/>
      <c r="B418" s="74">
        <v>1</v>
      </c>
      <c r="C418" s="74" t="s">
        <v>17</v>
      </c>
      <c r="D418" s="74"/>
      <c r="E418" s="74"/>
      <c r="F418" s="74"/>
      <c r="G418" s="74"/>
      <c r="H418" s="203">
        <v>284.35400000000004</v>
      </c>
      <c r="I418" s="203">
        <f>VLOOKUP($C418,'Unit tariffs'!$B$21:$F$123,5,FALSE)*$B418</f>
        <v>282.48325</v>
      </c>
      <c r="J418" s="457" t="e">
        <f>IF(+I418*'Unit tariffs'!#REF!&gt;'Unit tariffs'!#REF!,'Unit tariffs'!#REF!,+I418*'Unit tariffs'!#REF!)</f>
        <v>#REF!</v>
      </c>
      <c r="L418" s="76"/>
    </row>
    <row r="419" spans="1:12" ht="13" x14ac:dyDescent="0.3">
      <c r="A419" s="91"/>
      <c r="B419" s="74"/>
      <c r="C419" s="74"/>
      <c r="D419" s="74"/>
      <c r="E419" s="74"/>
      <c r="F419" s="74"/>
      <c r="G419" s="74"/>
      <c r="H419" s="76">
        <v>284.35400000000004</v>
      </c>
      <c r="I419" s="76">
        <f>SUM(I416:I418)</f>
        <v>282.48325</v>
      </c>
      <c r="J419" s="105"/>
    </row>
    <row r="420" spans="1:12" ht="13" x14ac:dyDescent="0.3">
      <c r="A420" s="91"/>
      <c r="B420" s="104" t="s">
        <v>42</v>
      </c>
      <c r="C420" s="74"/>
      <c r="D420" s="74"/>
      <c r="E420" s="74"/>
      <c r="F420" s="74"/>
      <c r="G420" s="76"/>
      <c r="H420" s="74"/>
      <c r="I420" s="74"/>
      <c r="J420" s="95"/>
    </row>
    <row r="421" spans="1:12" ht="13" x14ac:dyDescent="0.3">
      <c r="A421" s="91"/>
      <c r="B421" s="74"/>
      <c r="C421" s="74"/>
      <c r="D421" s="74"/>
      <c r="E421" s="74"/>
      <c r="F421" s="74"/>
      <c r="G421" s="74"/>
      <c r="H421" s="74"/>
      <c r="I421" s="74"/>
      <c r="J421" s="95"/>
    </row>
    <row r="422" spans="1:12" ht="13" x14ac:dyDescent="0.3">
      <c r="A422" s="91"/>
      <c r="B422" s="74">
        <v>4</v>
      </c>
      <c r="C422" s="74" t="s">
        <v>92</v>
      </c>
      <c r="D422" s="74"/>
      <c r="E422" s="74"/>
      <c r="F422" s="74"/>
      <c r="G422" s="74"/>
      <c r="H422" s="76">
        <v>1404.7710646153848</v>
      </c>
      <c r="I422" s="189">
        <f>VLOOKUP($C422,'Unit tariffs'!$B$21:$F$123,5,FALSE)*$B422</f>
        <v>1404.7710646153848</v>
      </c>
      <c r="J422" s="105"/>
    </row>
    <row r="423" spans="1:12" ht="13" x14ac:dyDescent="0.3">
      <c r="A423" s="91"/>
      <c r="B423" s="74">
        <v>8</v>
      </c>
      <c r="C423" s="74" t="s">
        <v>54</v>
      </c>
      <c r="D423" s="74"/>
      <c r="E423" s="74"/>
      <c r="F423" s="74"/>
      <c r="G423" s="74"/>
      <c r="H423" s="76">
        <v>1118.5940676923078</v>
      </c>
      <c r="I423" s="189">
        <f>VLOOKUP($C423,'Unit tariffs'!$B$21:$F$123,5,FALSE)*$B423</f>
        <v>1118.5940676923078</v>
      </c>
      <c r="J423" s="105"/>
    </row>
    <row r="424" spans="1:12" ht="13" x14ac:dyDescent="0.3">
      <c r="A424" s="91"/>
      <c r="B424" s="74"/>
      <c r="C424" s="74"/>
      <c r="D424" s="74"/>
      <c r="E424" s="74"/>
      <c r="F424" s="74"/>
      <c r="G424" s="74"/>
      <c r="H424" s="137">
        <v>2523.3651323076929</v>
      </c>
      <c r="I424" s="137">
        <f>SUM(I422:I423)</f>
        <v>2523.3651323076929</v>
      </c>
      <c r="J424" s="105"/>
    </row>
    <row r="425" spans="1:12" ht="13" x14ac:dyDescent="0.3">
      <c r="A425" s="91"/>
      <c r="B425" s="104" t="s">
        <v>43</v>
      </c>
      <c r="C425" s="74"/>
      <c r="D425" s="74"/>
      <c r="E425" s="74"/>
      <c r="F425" s="74"/>
      <c r="G425" s="74"/>
      <c r="H425" s="74"/>
      <c r="I425" s="74"/>
      <c r="J425" s="95"/>
    </row>
    <row r="426" spans="1:12" ht="13" x14ac:dyDescent="0.3">
      <c r="A426" s="91"/>
      <c r="B426" s="74"/>
      <c r="C426" s="74"/>
      <c r="D426" s="74"/>
      <c r="E426" s="74"/>
      <c r="F426" s="74"/>
      <c r="G426" s="74"/>
      <c r="H426" s="74"/>
      <c r="I426" s="74"/>
      <c r="J426" s="95"/>
    </row>
    <row r="427" spans="1:12" ht="13" x14ac:dyDescent="0.3">
      <c r="A427" s="91"/>
      <c r="B427" s="74">
        <v>30</v>
      </c>
      <c r="C427" s="74" t="str">
        <f>'Unit tariffs'!B$111</f>
        <v>km-truck with platform</v>
      </c>
      <c r="D427" s="74"/>
      <c r="E427" s="74"/>
      <c r="F427" s="74"/>
      <c r="G427" s="74"/>
      <c r="H427" s="76">
        <v>1488.2910406904116</v>
      </c>
      <c r="I427" s="76">
        <f>VLOOKUP($C427,'Unit tariffs'!$B$21:$F$123,5,FALSE)*$B427</f>
        <v>1478.4996522648166</v>
      </c>
      <c r="J427" s="105"/>
    </row>
    <row r="428" spans="1:12" ht="13" x14ac:dyDescent="0.3">
      <c r="A428" s="91"/>
      <c r="B428" s="74">
        <f>+B422</f>
        <v>4</v>
      </c>
      <c r="C428" s="74" t="str">
        <f>'Unit tariffs'!B$112</f>
        <v>hour-truck with platform</v>
      </c>
      <c r="D428" s="74"/>
      <c r="E428" s="74"/>
      <c r="F428" s="74"/>
      <c r="G428" s="74"/>
      <c r="H428" s="76">
        <v>965.72594213071363</v>
      </c>
      <c r="I428" s="76">
        <f>VLOOKUP($C428,'Unit tariffs'!$B$21:$F$123,5,FALSE)*$B428</f>
        <v>959.37248198511679</v>
      </c>
      <c r="J428" s="105"/>
    </row>
    <row r="429" spans="1:12" ht="13" x14ac:dyDescent="0.3">
      <c r="A429" s="91"/>
      <c r="B429" s="74"/>
      <c r="C429" s="74"/>
      <c r="D429" s="74"/>
      <c r="E429" s="74"/>
      <c r="F429" s="74"/>
      <c r="G429" s="74"/>
      <c r="H429" s="137">
        <v>2454.0169828211251</v>
      </c>
      <c r="I429" s="137">
        <f>SUM(I427:I428)</f>
        <v>2437.8721342499334</v>
      </c>
      <c r="J429" s="105"/>
    </row>
    <row r="430" spans="1:12" ht="13" x14ac:dyDescent="0.3">
      <c r="A430" s="91"/>
      <c r="J430" s="105"/>
    </row>
    <row r="431" spans="1:12" ht="13" x14ac:dyDescent="0.3">
      <c r="A431" s="91"/>
      <c r="J431" s="105"/>
    </row>
    <row r="432" spans="1:12" ht="13" x14ac:dyDescent="0.3">
      <c r="A432" s="91"/>
      <c r="B432" s="74"/>
      <c r="C432" s="74"/>
      <c r="D432" s="74"/>
      <c r="E432" s="74"/>
      <c r="F432" s="74"/>
      <c r="G432" s="74"/>
      <c r="H432" s="76">
        <v>28540.918303852824</v>
      </c>
      <c r="I432" s="76">
        <f>+I429+I424+I419+I414</f>
        <v>28369.750190882129</v>
      </c>
      <c r="J432" s="105"/>
      <c r="K432" s="111"/>
    </row>
    <row r="433" spans="1:10" ht="13.5" thickBot="1" x14ac:dyDescent="0.35">
      <c r="A433" s="91"/>
      <c r="B433" s="104" t="str">
        <f>'Unit tariffs'!$B$7</f>
        <v>Administration Levy (Indirect Cost)</v>
      </c>
      <c r="C433" s="74"/>
      <c r="D433" s="106">
        <f>'Unit tariffs'!$C$7</f>
        <v>0.1</v>
      </c>
      <c r="E433" s="74" t="s">
        <v>311</v>
      </c>
      <c r="F433" s="186">
        <f>+'Unit tariffs'!$F$7</f>
        <v>10000</v>
      </c>
      <c r="G433" s="74" t="s">
        <v>44</v>
      </c>
      <c r="H433" s="108">
        <v>2854.0918303852827</v>
      </c>
      <c r="I433" s="108">
        <f>IF(I432*$D433&gt;='Unit tariffs'!$E$7,'Unit tariffs'!$E$7,I432*$D433)</f>
        <v>2836.9750190882132</v>
      </c>
      <c r="J433" s="105"/>
    </row>
    <row r="434" spans="1:10" ht="13.5" thickTop="1" x14ac:dyDescent="0.3">
      <c r="A434" s="91"/>
      <c r="B434" s="104" t="s">
        <v>44</v>
      </c>
      <c r="C434" s="74"/>
      <c r="D434" s="74"/>
      <c r="E434" s="74"/>
      <c r="F434" s="74"/>
      <c r="G434" s="76"/>
      <c r="H434" s="109">
        <v>31395.010134238106</v>
      </c>
      <c r="I434" s="109">
        <f>SUM(I432:I433)</f>
        <v>31206.72520997034</v>
      </c>
      <c r="J434" s="110"/>
    </row>
    <row r="435" spans="1:10" ht="13" x14ac:dyDescent="0.3">
      <c r="A435" s="91"/>
      <c r="B435" s="104"/>
      <c r="C435" s="74"/>
      <c r="D435" s="74"/>
      <c r="E435" s="74"/>
      <c r="F435" s="74"/>
      <c r="G435" s="76"/>
      <c r="H435" s="76"/>
      <c r="I435" s="76"/>
      <c r="J435" s="105"/>
    </row>
    <row r="436" spans="1:10" ht="13" x14ac:dyDescent="0.3">
      <c r="A436" s="91"/>
      <c r="B436" s="104" t="s">
        <v>45</v>
      </c>
      <c r="C436" s="74"/>
      <c r="D436" s="74"/>
      <c r="E436" s="74"/>
      <c r="F436" s="74"/>
      <c r="G436" s="76"/>
      <c r="H436" s="84">
        <v>31400</v>
      </c>
      <c r="I436" s="84">
        <f>ROUND(I434,-1)</f>
        <v>31210</v>
      </c>
      <c r="J436" s="113"/>
    </row>
    <row r="437" spans="1:10" ht="13" x14ac:dyDescent="0.3">
      <c r="A437" s="91"/>
      <c r="E437" s="74"/>
      <c r="F437" s="74"/>
      <c r="G437" s="74"/>
      <c r="H437" s="74"/>
      <c r="I437" s="74"/>
      <c r="J437" s="113"/>
    </row>
    <row r="438" spans="1:10" ht="13" x14ac:dyDescent="0.3">
      <c r="A438" s="91"/>
      <c r="B438" s="74"/>
      <c r="C438" s="74"/>
      <c r="D438" s="74"/>
      <c r="E438" s="74"/>
      <c r="F438" s="74"/>
      <c r="G438" s="74"/>
      <c r="H438" s="112">
        <v>-0.12753542650736316</v>
      </c>
      <c r="I438" s="112">
        <f>(I436-H436)/H436</f>
        <v>-6.0509554140127392E-3</v>
      </c>
      <c r="J438" s="113"/>
    </row>
    <row r="439" spans="1:10" ht="13" x14ac:dyDescent="0.3">
      <c r="A439" s="91"/>
      <c r="B439" s="74"/>
      <c r="C439" s="74"/>
      <c r="D439" s="74"/>
      <c r="E439" s="74"/>
      <c r="F439" s="74"/>
      <c r="G439" s="74"/>
      <c r="H439" s="112"/>
      <c r="I439" s="112"/>
      <c r="J439" s="113"/>
    </row>
    <row r="440" spans="1:10" ht="13" x14ac:dyDescent="0.3">
      <c r="A440" s="91"/>
      <c r="B440" s="74"/>
      <c r="C440" s="74"/>
      <c r="D440" s="74"/>
      <c r="E440" s="74"/>
      <c r="F440" s="74"/>
      <c r="G440" s="74"/>
      <c r="H440" s="112"/>
      <c r="I440" s="112"/>
      <c r="J440" s="113"/>
    </row>
    <row r="441" spans="1:10" ht="13.5" thickBot="1" x14ac:dyDescent="0.35">
      <c r="A441" s="91"/>
      <c r="B441" s="74"/>
      <c r="C441" s="74"/>
      <c r="D441" s="74"/>
      <c r="E441" s="74"/>
      <c r="F441" s="74"/>
      <c r="G441" s="74"/>
      <c r="H441" s="74"/>
      <c r="I441" s="74"/>
      <c r="J441" s="95"/>
    </row>
    <row r="442" spans="1:10" ht="13.5" thickTop="1" x14ac:dyDescent="0.3">
      <c r="A442" s="445"/>
      <c r="B442" s="120"/>
      <c r="C442" s="120"/>
      <c r="D442" s="120"/>
      <c r="E442" s="120"/>
      <c r="F442" s="120"/>
      <c r="G442" s="120"/>
      <c r="H442" s="120"/>
      <c r="I442" s="120"/>
      <c r="J442" s="446"/>
    </row>
    <row r="443" spans="1:10" ht="39.75" customHeight="1" x14ac:dyDescent="0.3">
      <c r="A443" s="91"/>
      <c r="B443" s="828" t="s">
        <v>716</v>
      </c>
      <c r="C443" s="831"/>
      <c r="D443" s="831"/>
      <c r="E443" s="831"/>
      <c r="F443" s="831"/>
      <c r="G443" s="832"/>
      <c r="H443" s="810" t="s">
        <v>576</v>
      </c>
      <c r="I443" s="810" t="s">
        <v>576</v>
      </c>
      <c r="J443" s="95"/>
    </row>
    <row r="444" spans="1:10" ht="13" x14ac:dyDescent="0.3">
      <c r="A444" s="91"/>
      <c r="B444" s="74"/>
      <c r="C444" s="74"/>
      <c r="D444" s="74"/>
      <c r="E444" s="74"/>
      <c r="F444" s="74"/>
      <c r="G444" s="74"/>
      <c r="H444" s="103" t="s">
        <v>734</v>
      </c>
      <c r="I444" s="103" t="str">
        <f>+'Unit tariffs'!$F$11</f>
        <v>2026/2027</v>
      </c>
      <c r="J444" s="444" t="s">
        <v>313</v>
      </c>
    </row>
    <row r="445" spans="1:10" ht="13" x14ac:dyDescent="0.3">
      <c r="A445" s="91"/>
      <c r="B445" s="74"/>
      <c r="C445" s="74"/>
      <c r="D445" s="74"/>
      <c r="E445" s="74"/>
      <c r="F445" s="74"/>
      <c r="G445" s="74"/>
      <c r="H445" s="74"/>
      <c r="I445" s="74"/>
      <c r="J445" s="95"/>
    </row>
    <row r="446" spans="1:10" ht="13" x14ac:dyDescent="0.3">
      <c r="A446" s="91"/>
      <c r="B446" s="104" t="s">
        <v>117</v>
      </c>
      <c r="C446" s="74"/>
      <c r="D446" s="74"/>
      <c r="E446" s="74"/>
      <c r="F446" s="74"/>
      <c r="G446" s="74"/>
      <c r="H446" s="104"/>
      <c r="I446" s="104"/>
      <c r="J446" s="95"/>
    </row>
    <row r="447" spans="1:10" ht="13" x14ac:dyDescent="0.3">
      <c r="A447" s="91"/>
      <c r="B447" s="74" t="s">
        <v>118</v>
      </c>
      <c r="C447" s="74"/>
      <c r="D447" s="74"/>
      <c r="E447" s="74"/>
      <c r="F447" s="74"/>
      <c r="G447" s="74"/>
      <c r="H447" s="104"/>
      <c r="I447" s="104"/>
      <c r="J447" s="95"/>
    </row>
    <row r="448" spans="1:10" ht="13" x14ac:dyDescent="0.3">
      <c r="A448" s="91"/>
      <c r="B448" s="74">
        <v>5</v>
      </c>
      <c r="C448" s="74" t="str">
        <f>'Unit tariffs'!B138</f>
        <v>Secondary Backbone - MV Peri Urban</v>
      </c>
      <c r="D448" s="74"/>
      <c r="E448" s="74"/>
      <c r="F448" s="74" t="str">
        <f>'Unit tariffs'!C$132</f>
        <v>per kVA</v>
      </c>
      <c r="G448" s="74"/>
      <c r="H448" s="76">
        <v>6080.031636140001</v>
      </c>
      <c r="I448" s="76">
        <f>VLOOKUP($C448,'Unit tariffs'!$B$21:$F$158,5,FALSE)*$B448</f>
        <v>6040.0314280074999</v>
      </c>
      <c r="J448" s="95"/>
    </row>
    <row r="449" spans="1:10" ht="13" x14ac:dyDescent="0.3">
      <c r="A449" s="91"/>
      <c r="B449" s="74">
        <v>5</v>
      </c>
      <c r="C449" s="74" t="str">
        <f>'Unit tariffs'!B139</f>
        <v>Secondary Backbone - LV Peri Urban</v>
      </c>
      <c r="D449" s="74"/>
      <c r="E449" s="74"/>
      <c r="F449" s="74" t="str">
        <f>'Unit tariffs'!C$132</f>
        <v>per kVA</v>
      </c>
      <c r="G449" s="74"/>
      <c r="H449" s="81">
        <v>9974.1282945920029</v>
      </c>
      <c r="I449" s="81">
        <f>VLOOKUP($C449,'Unit tariffs'!$B$21:$F$158,5,FALSE)*$B449</f>
        <v>9908.5090294960009</v>
      </c>
      <c r="J449" s="95"/>
    </row>
    <row r="450" spans="1:10" ht="13" x14ac:dyDescent="0.3">
      <c r="A450" s="91"/>
      <c r="B450" s="646"/>
      <c r="C450" s="646"/>
      <c r="D450" s="646"/>
      <c r="E450" s="646"/>
      <c r="F450" s="646"/>
      <c r="G450" s="74"/>
      <c r="H450" s="76">
        <v>16054.159930732003</v>
      </c>
      <c r="I450" s="76">
        <f>SUM(I448:I449)</f>
        <v>15948.540457503501</v>
      </c>
      <c r="J450" s="95"/>
    </row>
    <row r="451" spans="1:10" ht="13" x14ac:dyDescent="0.3">
      <c r="A451" s="91"/>
      <c r="B451" s="74"/>
      <c r="C451" s="74"/>
      <c r="D451" s="74"/>
      <c r="E451" s="74"/>
      <c r="F451" s="74"/>
      <c r="G451" s="74"/>
      <c r="H451" s="74"/>
      <c r="I451" s="74"/>
      <c r="J451" s="95"/>
    </row>
    <row r="452" spans="1:10" ht="13" x14ac:dyDescent="0.3">
      <c r="A452" s="91"/>
      <c r="B452" s="74"/>
      <c r="C452" s="74"/>
      <c r="D452" s="74"/>
      <c r="E452" s="74"/>
      <c r="F452" s="74"/>
      <c r="G452" s="74"/>
      <c r="H452" s="74"/>
      <c r="I452" s="74"/>
      <c r="J452" s="95"/>
    </row>
    <row r="453" spans="1:10" ht="13" x14ac:dyDescent="0.3">
      <c r="A453" s="91"/>
      <c r="B453" s="74"/>
      <c r="C453" s="74"/>
      <c r="D453" s="74"/>
      <c r="E453" s="74"/>
      <c r="F453" s="74"/>
      <c r="G453" s="74"/>
      <c r="H453" s="74"/>
      <c r="I453" s="74"/>
      <c r="J453" s="95"/>
    </row>
    <row r="454" spans="1:10" ht="13" x14ac:dyDescent="0.3">
      <c r="A454" s="91"/>
      <c r="B454" s="104" t="s">
        <v>41</v>
      </c>
      <c r="C454" s="74"/>
      <c r="D454" s="74"/>
      <c r="E454" s="74"/>
      <c r="F454" s="74"/>
      <c r="G454" s="74"/>
      <c r="H454" s="74"/>
      <c r="I454" s="74"/>
      <c r="J454" s="95"/>
    </row>
    <row r="455" spans="1:10" ht="13" x14ac:dyDescent="0.3">
      <c r="A455" s="91"/>
      <c r="B455" s="74">
        <v>1</v>
      </c>
      <c r="C455" s="74" t="str">
        <f>'Unit tariffs'!B34</f>
        <v>METER:S/P WIRED PRE-PAID</v>
      </c>
      <c r="D455" s="74"/>
      <c r="E455" s="74"/>
      <c r="F455" s="74"/>
      <c r="G455" s="74"/>
      <c r="H455" s="76">
        <v>2156.5407359999999</v>
      </c>
      <c r="I455" s="76">
        <f>VLOOKUP($C455,'Unit tariffs'!$B$21:$F$123,5,FALSE)*$B455</f>
        <v>2142.3529679999997</v>
      </c>
      <c r="J455" s="457" t="e">
        <f>IF(+I455*'Unit tariffs'!#REF!&gt;'Unit tariffs'!#REF!,'Unit tariffs'!#REF!,+I455*'Unit tariffs'!#REF!)</f>
        <v>#REF!</v>
      </c>
    </row>
    <row r="456" spans="1:10" ht="13" x14ac:dyDescent="0.3">
      <c r="A456" s="91"/>
      <c r="B456" s="74">
        <v>1</v>
      </c>
      <c r="C456" s="74" t="str">
        <f>'Unit tariffs'!B43</f>
        <v>x 80 A circuit breaker (5kA) - Orange</v>
      </c>
      <c r="D456" s="74"/>
      <c r="E456" s="74"/>
      <c r="F456" s="74"/>
      <c r="G456" s="74"/>
      <c r="H456" s="76">
        <v>0</v>
      </c>
      <c r="I456" s="76">
        <f>VLOOKUP($C456,'Unit tariffs'!$B$21:$F$123,5,FALSE)*$B456</f>
        <v>0</v>
      </c>
      <c r="J456" s="457" t="e">
        <f>IF(+I456*'Unit tariffs'!#REF!&gt;'Unit tariffs'!#REF!,'Unit tariffs'!#REF!,+I456*'Unit tariffs'!#REF!)</f>
        <v>#REF!</v>
      </c>
    </row>
    <row r="457" spans="1:10" ht="13" x14ac:dyDescent="0.3">
      <c r="A457" s="91"/>
      <c r="B457" s="85">
        <v>1</v>
      </c>
      <c r="C457" s="74" t="str">
        <f>'Unit tariffs'!B21</f>
        <v>Installation material</v>
      </c>
      <c r="D457" s="74"/>
      <c r="E457" s="74"/>
      <c r="F457" s="74"/>
      <c r="G457" s="74"/>
      <c r="H457" s="76">
        <v>284.35400000000004</v>
      </c>
      <c r="I457" s="76">
        <f>VLOOKUP($C457,'Unit tariffs'!$B$21:$F$123,5,FALSE)*$B457</f>
        <v>282.48325</v>
      </c>
      <c r="J457" s="457" t="e">
        <f>IF(+I457*'Unit tariffs'!#REF!&gt;'Unit tariffs'!#REF!,'Unit tariffs'!#REF!,+I457*'Unit tariffs'!#REF!)</f>
        <v>#REF!</v>
      </c>
    </row>
    <row r="458" spans="1:10" ht="13" x14ac:dyDescent="0.3">
      <c r="A458" s="91"/>
      <c r="B458" s="74"/>
      <c r="C458" s="74"/>
      <c r="D458" s="74"/>
      <c r="E458" s="74"/>
      <c r="F458" s="74"/>
      <c r="G458" s="74"/>
      <c r="H458" s="76">
        <v>2440.8947360000002</v>
      </c>
      <c r="I458" s="76">
        <f>SUM(I455:I457)</f>
        <v>2424.8362179999995</v>
      </c>
      <c r="J458" s="105"/>
    </row>
    <row r="459" spans="1:10" ht="13" x14ac:dyDescent="0.3">
      <c r="A459" s="91"/>
      <c r="B459" s="104" t="s">
        <v>42</v>
      </c>
      <c r="C459" s="74"/>
      <c r="D459" s="74"/>
      <c r="E459" s="74"/>
      <c r="F459" s="74"/>
      <c r="G459" s="76"/>
      <c r="H459" s="74"/>
      <c r="I459" s="74"/>
      <c r="J459" s="95"/>
    </row>
    <row r="460" spans="1:10" ht="13" x14ac:dyDescent="0.3">
      <c r="A460" s="91"/>
      <c r="B460" s="74"/>
      <c r="C460" s="74"/>
      <c r="D460" s="74"/>
      <c r="E460" s="74"/>
      <c r="F460" s="74"/>
      <c r="G460" s="74"/>
      <c r="H460" s="74"/>
      <c r="I460" s="74"/>
      <c r="J460" s="95"/>
    </row>
    <row r="461" spans="1:10" ht="13" x14ac:dyDescent="0.3">
      <c r="A461" s="91"/>
      <c r="B461" s="74">
        <v>2</v>
      </c>
      <c r="C461" s="74" t="str">
        <f>'Unit tariffs'!B$87</f>
        <v xml:space="preserve">hour-artisan </v>
      </c>
      <c r="D461" s="74"/>
      <c r="E461" s="74"/>
      <c r="F461" s="74"/>
      <c r="G461" s="74"/>
      <c r="H461" s="76">
        <v>702.38553230769242</v>
      </c>
      <c r="I461" s="76">
        <f>VLOOKUP($C461,'Unit tariffs'!$B$21:$F$123,5,FALSE)*$B461</f>
        <v>702.38553230769242</v>
      </c>
      <c r="J461" s="105"/>
    </row>
    <row r="462" spans="1:10" ht="13" x14ac:dyDescent="0.3">
      <c r="A462" s="91"/>
      <c r="B462" s="74">
        <v>8</v>
      </c>
      <c r="C462" s="74" t="str">
        <f>'Unit tariffs'!B$85</f>
        <v>hour-artisan assistant</v>
      </c>
      <c r="D462" s="74"/>
      <c r="E462" s="74"/>
      <c r="F462" s="74"/>
      <c r="G462" s="74"/>
      <c r="H462" s="81">
        <v>1118.5940676923078</v>
      </c>
      <c r="I462" s="81">
        <f>VLOOKUP($C462,'Unit tariffs'!$B$21:$F$123,5,FALSE)*$B462</f>
        <v>1118.5940676923078</v>
      </c>
      <c r="J462" s="105"/>
    </row>
    <row r="463" spans="1:10" ht="13" x14ac:dyDescent="0.3">
      <c r="A463" s="91"/>
      <c r="B463" s="74"/>
      <c r="C463" s="74"/>
      <c r="D463" s="74"/>
      <c r="E463" s="74"/>
      <c r="F463" s="74"/>
      <c r="G463" s="74"/>
      <c r="H463" s="76">
        <v>1820.9796000000001</v>
      </c>
      <c r="I463" s="76">
        <f>SUM(I461:I462)</f>
        <v>1820.9796000000001</v>
      </c>
      <c r="J463" s="105"/>
    </row>
    <row r="464" spans="1:10" ht="13" x14ac:dyDescent="0.3">
      <c r="A464" s="91"/>
      <c r="B464" s="104" t="s">
        <v>43</v>
      </c>
      <c r="C464" s="74"/>
      <c r="D464" s="85"/>
      <c r="E464" s="74"/>
      <c r="F464" s="74"/>
      <c r="G464" s="74"/>
      <c r="H464" s="74"/>
      <c r="I464" s="74"/>
      <c r="J464" s="95"/>
    </row>
    <row r="465" spans="1:10" ht="13" x14ac:dyDescent="0.3">
      <c r="A465" s="91"/>
      <c r="B465" s="74"/>
      <c r="C465" s="74"/>
      <c r="D465" s="74"/>
      <c r="E465" s="74"/>
      <c r="F465" s="74"/>
      <c r="G465" s="74"/>
      <c r="H465" s="74"/>
      <c r="I465" s="74"/>
      <c r="J465" s="95"/>
    </row>
    <row r="466" spans="1:10" ht="13" x14ac:dyDescent="0.3">
      <c r="A466" s="91"/>
      <c r="B466" s="74">
        <v>30</v>
      </c>
      <c r="C466" s="74" t="str">
        <f>'Unit tariffs'!B$111</f>
        <v>km-truck with platform</v>
      </c>
      <c r="D466" s="74"/>
      <c r="E466" s="74"/>
      <c r="F466" s="74"/>
      <c r="G466" s="74"/>
      <c r="H466" s="76">
        <v>1488.2910406904116</v>
      </c>
      <c r="I466" s="76">
        <f>VLOOKUP($C466,'Unit tariffs'!$B$21:$F$123,5,FALSE)*$B466</f>
        <v>1478.4996522648166</v>
      </c>
      <c r="J466" s="105"/>
    </row>
    <row r="467" spans="1:10" ht="13" x14ac:dyDescent="0.3">
      <c r="A467" s="91"/>
      <c r="B467" s="74">
        <f>+B461</f>
        <v>2</v>
      </c>
      <c r="C467" s="74" t="str">
        <f>'Unit tariffs'!B$112</f>
        <v>hour-truck with platform</v>
      </c>
      <c r="D467" s="74"/>
      <c r="E467" s="74"/>
      <c r="F467" s="74"/>
      <c r="G467" s="74"/>
      <c r="H467" s="76">
        <v>482.86297106535682</v>
      </c>
      <c r="I467" s="76">
        <f>VLOOKUP($C467,'Unit tariffs'!$B$21:$F$123,5,FALSE)*$B467</f>
        <v>479.6862409925584</v>
      </c>
      <c r="J467" s="105"/>
    </row>
    <row r="468" spans="1:10" ht="13" x14ac:dyDescent="0.3">
      <c r="A468" s="91"/>
      <c r="B468" s="74"/>
      <c r="C468" s="74"/>
      <c r="D468" s="74"/>
      <c r="E468" s="74"/>
      <c r="F468" s="74"/>
      <c r="G468" s="74"/>
      <c r="H468" s="137">
        <v>1971.1540117557684</v>
      </c>
      <c r="I468" s="137">
        <f>SUM(I466:I467)</f>
        <v>1958.185893257375</v>
      </c>
      <c r="J468" s="105"/>
    </row>
    <row r="469" spans="1:10" ht="13" x14ac:dyDescent="0.3">
      <c r="A469" s="91"/>
      <c r="J469" s="105"/>
    </row>
    <row r="470" spans="1:10" ht="13" x14ac:dyDescent="0.3">
      <c r="A470" s="91"/>
      <c r="J470" s="105"/>
    </row>
    <row r="471" spans="1:10" ht="13" x14ac:dyDescent="0.3">
      <c r="A471" s="91"/>
      <c r="B471" s="74"/>
      <c r="C471" s="74"/>
      <c r="D471" s="74"/>
      <c r="E471" s="74"/>
      <c r="F471" s="74"/>
      <c r="G471" s="74"/>
      <c r="H471" s="76">
        <v>22287.188278487771</v>
      </c>
      <c r="I471" s="76">
        <f>+I468+I463+I458+I450</f>
        <v>22152.542168760876</v>
      </c>
      <c r="J471" s="105"/>
    </row>
    <row r="472" spans="1:10" ht="13.5" thickBot="1" x14ac:dyDescent="0.35">
      <c r="A472" s="91"/>
      <c r="B472" s="104" t="str">
        <f>'Unit tariffs'!$B$7</f>
        <v>Administration Levy (Indirect Cost)</v>
      </c>
      <c r="C472" s="74"/>
      <c r="D472" s="106">
        <f>'Unit tariffs'!$C$7</f>
        <v>0.1</v>
      </c>
      <c r="E472" s="74" t="s">
        <v>311</v>
      </c>
      <c r="F472" s="186">
        <f>+'Unit tariffs'!$F$7</f>
        <v>10000</v>
      </c>
      <c r="G472" s="74" t="s">
        <v>44</v>
      </c>
      <c r="H472" s="108">
        <v>2228.718827848777</v>
      </c>
      <c r="I472" s="108">
        <f>IF(I471*$D472&gt;='Unit tariffs'!$E$7,'Unit tariffs'!$E$7,I471*$D472)</f>
        <v>2215.2542168760879</v>
      </c>
      <c r="J472" s="105"/>
    </row>
    <row r="473" spans="1:10" ht="13.5" thickTop="1" x14ac:dyDescent="0.3">
      <c r="A473" s="91"/>
      <c r="B473" s="104" t="s">
        <v>44</v>
      </c>
      <c r="C473" s="74"/>
      <c r="D473" s="74"/>
      <c r="E473" s="74"/>
      <c r="F473" s="74"/>
      <c r="G473" s="76"/>
      <c r="H473" s="109">
        <v>24515.907106336548</v>
      </c>
      <c r="I473" s="109">
        <f>SUM(I471:I472)</f>
        <v>24367.796385636964</v>
      </c>
      <c r="J473" s="110"/>
    </row>
    <row r="474" spans="1:10" ht="13" x14ac:dyDescent="0.3">
      <c r="A474" s="91"/>
      <c r="B474" s="104"/>
      <c r="C474" s="74"/>
      <c r="D474" s="74"/>
      <c r="E474" s="74"/>
      <c r="F474" s="74"/>
      <c r="G474" s="76"/>
      <c r="H474" s="76"/>
      <c r="I474" s="76"/>
      <c r="J474" s="110"/>
    </row>
    <row r="475" spans="1:10" ht="13" x14ac:dyDescent="0.3">
      <c r="A475" s="91"/>
      <c r="B475" s="104" t="s">
        <v>45</v>
      </c>
      <c r="C475" s="74"/>
      <c r="D475" s="74"/>
      <c r="E475" s="74"/>
      <c r="F475" s="74"/>
      <c r="G475" s="76"/>
      <c r="H475" s="84">
        <v>24520</v>
      </c>
      <c r="I475" s="84">
        <f>ROUND(I473,-1)</f>
        <v>24370</v>
      </c>
      <c r="J475" s="110"/>
    </row>
    <row r="476" spans="1:10" ht="13" x14ac:dyDescent="0.3">
      <c r="A476" s="91"/>
      <c r="B476" s="104"/>
      <c r="C476" s="74"/>
      <c r="D476" s="74"/>
      <c r="E476" s="74"/>
      <c r="F476" s="74"/>
      <c r="G476" s="76"/>
      <c r="H476" s="84"/>
      <c r="I476" s="84"/>
      <c r="J476" s="110"/>
    </row>
    <row r="477" spans="1:10" ht="13" x14ac:dyDescent="0.3">
      <c r="A477" s="91"/>
      <c r="B477" s="74"/>
      <c r="C477" s="74"/>
      <c r="D477" s="74"/>
      <c r="E477" s="74"/>
      <c r="F477" s="74"/>
      <c r="G477" s="74"/>
      <c r="H477" s="112">
        <v>-0.3939693524468611</v>
      </c>
      <c r="I477" s="112">
        <f>(I475-H475)/H475</f>
        <v>-6.1174551386623168E-3</v>
      </c>
      <c r="J477" s="110"/>
    </row>
    <row r="478" spans="1:10" ht="13" x14ac:dyDescent="0.3">
      <c r="A478" s="91"/>
      <c r="B478" s="74"/>
      <c r="C478" s="74"/>
      <c r="D478" s="74"/>
      <c r="E478" s="74"/>
      <c r="F478" s="74"/>
      <c r="G478" s="74"/>
      <c r="H478" s="112"/>
      <c r="I478" s="112"/>
      <c r="J478" s="110"/>
    </row>
    <row r="479" spans="1:10" ht="13" x14ac:dyDescent="0.3">
      <c r="A479" s="91"/>
      <c r="B479" s="104"/>
      <c r="C479" s="74"/>
      <c r="D479" s="74"/>
      <c r="E479" s="74"/>
      <c r="F479" s="74"/>
      <c r="G479" s="76"/>
      <c r="H479" s="84"/>
      <c r="I479" s="84"/>
      <c r="J479" s="110"/>
    </row>
    <row r="480" spans="1:10" ht="13.5" thickBot="1" x14ac:dyDescent="0.35">
      <c r="A480" s="448"/>
      <c r="B480" s="796"/>
      <c r="C480" s="123"/>
      <c r="D480" s="123"/>
      <c r="E480" s="123"/>
      <c r="F480" s="123"/>
      <c r="G480" s="108"/>
      <c r="H480" s="797"/>
      <c r="I480" s="797"/>
      <c r="J480" s="110"/>
    </row>
    <row r="481" spans="1:10" ht="13.5" thickTop="1" x14ac:dyDescent="0.3">
      <c r="A481" s="91"/>
      <c r="B481" s="104"/>
      <c r="C481" s="74"/>
      <c r="D481" s="74"/>
      <c r="E481" s="74"/>
      <c r="F481" s="74"/>
      <c r="G481" s="76"/>
      <c r="H481" s="84"/>
      <c r="I481" s="84"/>
      <c r="J481" s="110"/>
    </row>
    <row r="482" spans="1:10" ht="13" x14ac:dyDescent="0.3">
      <c r="A482" s="91"/>
      <c r="E482" s="74"/>
      <c r="F482" s="74"/>
      <c r="G482" s="74"/>
      <c r="H482" s="74"/>
      <c r="I482" s="74"/>
      <c r="J482" s="105"/>
    </row>
    <row r="483" spans="1:10" ht="39.75" customHeight="1" x14ac:dyDescent="0.3">
      <c r="A483" s="91"/>
      <c r="B483" s="147" t="s">
        <v>717</v>
      </c>
      <c r="C483" s="826"/>
      <c r="D483" s="826"/>
      <c r="E483" s="826"/>
      <c r="F483" s="826"/>
      <c r="G483" s="827"/>
      <c r="H483" s="810" t="s">
        <v>660</v>
      </c>
      <c r="I483" s="810" t="s">
        <v>660</v>
      </c>
      <c r="J483" s="113"/>
    </row>
    <row r="484" spans="1:10" ht="13" x14ac:dyDescent="0.3">
      <c r="A484" s="91"/>
      <c r="B484" s="794"/>
      <c r="C484" s="794"/>
      <c r="D484" s="794"/>
      <c r="E484" s="794"/>
      <c r="F484" s="794"/>
      <c r="G484" s="794"/>
      <c r="H484" s="103" t="s">
        <v>734</v>
      </c>
      <c r="I484" s="103" t="str">
        <f>+'Unit tariffs'!$F$11</f>
        <v>2026/2027</v>
      </c>
      <c r="J484" s="113"/>
    </row>
    <row r="485" spans="1:10" ht="13" x14ac:dyDescent="0.3">
      <c r="A485" s="91"/>
      <c r="B485" s="794"/>
      <c r="C485" s="794"/>
      <c r="D485" s="794"/>
      <c r="E485" s="794"/>
      <c r="F485" s="794"/>
      <c r="G485" s="794"/>
      <c r="H485" s="131"/>
      <c r="I485" s="131"/>
      <c r="J485" s="113"/>
    </row>
    <row r="486" spans="1:10" ht="13" x14ac:dyDescent="0.3">
      <c r="A486" s="91"/>
      <c r="B486" s="104" t="s">
        <v>41</v>
      </c>
      <c r="C486" s="74"/>
      <c r="D486" s="74"/>
      <c r="E486" s="74"/>
      <c r="F486" s="74"/>
      <c r="G486" s="74"/>
      <c r="H486" s="76"/>
      <c r="I486" s="76"/>
      <c r="J486" s="113"/>
    </row>
    <row r="487" spans="1:10" ht="13" x14ac:dyDescent="0.3">
      <c r="A487" s="91"/>
      <c r="B487" s="74">
        <v>1</v>
      </c>
      <c r="C487" s="74" t="str">
        <f>+'Unit tariffs'!B34</f>
        <v>METER:S/P WIRED PRE-PAID</v>
      </c>
      <c r="D487" s="74"/>
      <c r="E487" s="74"/>
      <c r="F487" s="74"/>
      <c r="G487" s="74"/>
      <c r="H487" s="76">
        <v>2156.5407359999999</v>
      </c>
      <c r="I487" s="76">
        <f>VLOOKUP($C487,'Unit tariffs'!$B$21:$F$123,5,FALSE)*$B487</f>
        <v>2142.3529679999997</v>
      </c>
      <c r="J487" s="113"/>
    </row>
    <row r="488" spans="1:10" ht="13" x14ac:dyDescent="0.3">
      <c r="A488" s="91"/>
      <c r="B488" s="74">
        <v>1</v>
      </c>
      <c r="C488" s="74" t="str">
        <f>+'Unit tariffs'!B43</f>
        <v>x 80 A circuit breaker (5kA) - Orange</v>
      </c>
      <c r="D488" s="74"/>
      <c r="E488" s="74"/>
      <c r="F488" s="74"/>
      <c r="G488" s="74"/>
      <c r="H488" s="76">
        <v>0</v>
      </c>
      <c r="I488" s="76">
        <f>VLOOKUP($C488,'Unit tariffs'!$B$21:$F$123,5,FALSE)*$B488</f>
        <v>0</v>
      </c>
      <c r="J488" s="113"/>
    </row>
    <row r="489" spans="1:10" ht="13" x14ac:dyDescent="0.3">
      <c r="A489" s="91"/>
      <c r="B489" s="74">
        <v>1</v>
      </c>
      <c r="C489" s="74" t="str">
        <f>+'Unit tariffs'!B21</f>
        <v>Installation material</v>
      </c>
      <c r="D489" s="74"/>
      <c r="E489" s="74"/>
      <c r="F489" s="74"/>
      <c r="G489" s="74"/>
      <c r="H489" s="81">
        <v>284.35400000000004</v>
      </c>
      <c r="I489" s="81">
        <f>VLOOKUP($C489,'Unit tariffs'!$B$21:$F$123,5,FALSE)*$B489</f>
        <v>282.48325</v>
      </c>
      <c r="J489" s="113"/>
    </row>
    <row r="490" spans="1:10" ht="13" x14ac:dyDescent="0.3">
      <c r="A490" s="91"/>
      <c r="B490" s="74"/>
      <c r="C490" s="74"/>
      <c r="D490" s="74"/>
      <c r="E490" s="74"/>
      <c r="F490" s="74"/>
      <c r="G490" s="74"/>
      <c r="H490" s="76">
        <v>2440.8947360000002</v>
      </c>
      <c r="I490" s="76">
        <f>SUM(I487:I489)</f>
        <v>2424.8362179999995</v>
      </c>
      <c r="J490" s="113"/>
    </row>
    <row r="491" spans="1:10" ht="13" x14ac:dyDescent="0.3">
      <c r="A491" s="91"/>
      <c r="B491" s="104" t="s">
        <v>42</v>
      </c>
      <c r="C491" s="74"/>
      <c r="D491" s="74"/>
      <c r="E491" s="74"/>
      <c r="F491" s="74"/>
      <c r="G491" s="74"/>
      <c r="H491" s="74"/>
      <c r="I491" s="74"/>
      <c r="J491" s="113"/>
    </row>
    <row r="492" spans="1:10" ht="13" x14ac:dyDescent="0.3">
      <c r="A492" s="91"/>
      <c r="B492" s="74"/>
      <c r="C492" s="74"/>
      <c r="D492" s="74"/>
      <c r="E492" s="74"/>
      <c r="F492" s="74"/>
      <c r="G492" s="74"/>
      <c r="H492" s="74"/>
      <c r="I492" s="74"/>
      <c r="J492" s="113"/>
    </row>
    <row r="493" spans="1:10" ht="13" x14ac:dyDescent="0.3">
      <c r="A493" s="91"/>
      <c r="B493" s="74">
        <v>0.8</v>
      </c>
      <c r="C493" s="74" t="str">
        <f>'Unit tariffs'!B$87</f>
        <v xml:space="preserve">hour-artisan </v>
      </c>
      <c r="D493" s="74"/>
      <c r="E493" s="74"/>
      <c r="F493" s="74"/>
      <c r="G493" s="74"/>
      <c r="H493" s="76">
        <v>280.95421292307697</v>
      </c>
      <c r="I493" s="76">
        <f>VLOOKUP($C493,'Unit tariffs'!$B$21:$F$123,5,FALSE)*$B493</f>
        <v>280.95421292307697</v>
      </c>
      <c r="J493" s="113"/>
    </row>
    <row r="494" spans="1:10" ht="13" x14ac:dyDescent="0.3">
      <c r="A494" s="91"/>
      <c r="B494" s="74">
        <v>1.6</v>
      </c>
      <c r="C494" s="74" t="str">
        <f>'Unit tariffs'!B$85</f>
        <v>hour-artisan assistant</v>
      </c>
      <c r="D494" s="74"/>
      <c r="E494" s="74"/>
      <c r="F494" s="74"/>
      <c r="G494" s="74"/>
      <c r="H494" s="81">
        <v>223.71881353846157</v>
      </c>
      <c r="I494" s="81">
        <f>VLOOKUP($C494,'Unit tariffs'!$B$21:$F$123,5,FALSE)*$B494</f>
        <v>223.71881353846157</v>
      </c>
      <c r="J494" s="113"/>
    </row>
    <row r="495" spans="1:10" ht="13" x14ac:dyDescent="0.3">
      <c r="A495" s="91"/>
      <c r="B495" s="74"/>
      <c r="C495" s="74"/>
      <c r="D495" s="74"/>
      <c r="E495" s="74"/>
      <c r="F495" s="74"/>
      <c r="G495" s="74"/>
      <c r="H495" s="76">
        <v>504.67302646153854</v>
      </c>
      <c r="I495" s="76">
        <f>SUM(I493:I494)</f>
        <v>504.67302646153854</v>
      </c>
      <c r="J495" s="113"/>
    </row>
    <row r="496" spans="1:10" ht="13" x14ac:dyDescent="0.3">
      <c r="A496" s="91"/>
      <c r="B496" s="104" t="s">
        <v>43</v>
      </c>
      <c r="C496" s="74"/>
      <c r="D496" s="74"/>
      <c r="E496" s="74"/>
      <c r="F496" s="74"/>
      <c r="G496" s="74"/>
      <c r="H496" s="74"/>
      <c r="I496" s="74"/>
      <c r="J496" s="113"/>
    </row>
    <row r="497" spans="1:10" ht="13" x14ac:dyDescent="0.3">
      <c r="A497" s="91"/>
      <c r="B497" s="74"/>
      <c r="C497" s="74"/>
      <c r="D497" s="74"/>
      <c r="E497" s="74"/>
      <c r="F497" s="74"/>
      <c r="G497" s="74"/>
      <c r="H497" s="74"/>
      <c r="I497" s="74"/>
      <c r="J497" s="113"/>
    </row>
    <row r="498" spans="1:10" ht="13" x14ac:dyDescent="0.3">
      <c r="A498" s="91"/>
      <c r="B498" s="74">
        <v>12</v>
      </c>
      <c r="C498" s="74" t="str">
        <f>'Unit tariffs'!B$111</f>
        <v>km-truck with platform</v>
      </c>
      <c r="D498" s="74"/>
      <c r="E498" s="74"/>
      <c r="F498" s="74"/>
      <c r="G498" s="74"/>
      <c r="H498" s="76">
        <v>595.31641627616466</v>
      </c>
      <c r="I498" s="76">
        <f>VLOOKUP($C498,'Unit tariffs'!$B$21:$F$123,5,FALSE)*$B498</f>
        <v>591.39986090592663</v>
      </c>
      <c r="J498" s="113"/>
    </row>
    <row r="499" spans="1:10" ht="13" x14ac:dyDescent="0.3">
      <c r="A499" s="91"/>
      <c r="B499" s="74">
        <v>1</v>
      </c>
      <c r="C499" s="74" t="str">
        <f>'Unit tariffs'!B$112</f>
        <v>hour-truck with platform</v>
      </c>
      <c r="D499" s="74"/>
      <c r="E499" s="74"/>
      <c r="F499" s="74"/>
      <c r="G499" s="74"/>
      <c r="H499" s="76">
        <v>241.43148553267841</v>
      </c>
      <c r="I499" s="76">
        <f>VLOOKUP($C499,'Unit tariffs'!$B$21:$F$123,5,FALSE)*$B499</f>
        <v>239.8431204962792</v>
      </c>
      <c r="J499" s="113"/>
    </row>
    <row r="500" spans="1:10" ht="13" x14ac:dyDescent="0.3">
      <c r="A500" s="91"/>
      <c r="B500" s="74"/>
      <c r="C500" s="74"/>
      <c r="D500" s="74"/>
      <c r="E500" s="74"/>
      <c r="F500" s="74"/>
      <c r="G500" s="74"/>
      <c r="H500" s="649">
        <v>836.74790180884304</v>
      </c>
      <c r="I500" s="649">
        <f>SUM(I498:I499)</f>
        <v>831.24298140220583</v>
      </c>
      <c r="J500" s="113"/>
    </row>
    <row r="501" spans="1:10" ht="13" x14ac:dyDescent="0.3">
      <c r="J501" s="113"/>
    </row>
    <row r="502" spans="1:10" ht="13" x14ac:dyDescent="0.3">
      <c r="J502" s="113"/>
    </row>
    <row r="503" spans="1:10" ht="13" x14ac:dyDescent="0.3">
      <c r="J503" s="113"/>
    </row>
    <row r="504" spans="1:10" ht="13" x14ac:dyDescent="0.3">
      <c r="A504" s="91"/>
      <c r="B504" s="74"/>
      <c r="C504" s="74"/>
      <c r="D504" s="74"/>
      <c r="E504" s="74"/>
      <c r="F504" s="74"/>
      <c r="G504" s="74"/>
      <c r="H504" s="189">
        <v>3782.3156642703816</v>
      </c>
      <c r="I504" s="189">
        <f>I490+I495+I500</f>
        <v>3760.7522258637437</v>
      </c>
      <c r="J504" s="113"/>
    </row>
    <row r="505" spans="1:10" ht="13.5" thickBot="1" x14ac:dyDescent="0.35">
      <c r="A505" s="91"/>
      <c r="B505" s="104" t="str">
        <f>'Unit tariffs'!$B$7</f>
        <v>Administration Levy (Indirect Cost)</v>
      </c>
      <c r="C505" s="74"/>
      <c r="D505" s="106">
        <f>'Unit tariffs'!$C$7</f>
        <v>0.1</v>
      </c>
      <c r="E505" s="74" t="s">
        <v>311</v>
      </c>
      <c r="F505" s="186">
        <f>+'Unit tariffs'!$F$7</f>
        <v>10000</v>
      </c>
      <c r="G505" s="74"/>
      <c r="H505" s="343">
        <v>378.23156642703816</v>
      </c>
      <c r="I505" s="343">
        <f>IF(I504*$D505&gt;='Unit tariffs'!$E$7,'Unit tariffs'!$E$7,I504*$D505)</f>
        <v>376.07522258637437</v>
      </c>
      <c r="J505" s="113"/>
    </row>
    <row r="506" spans="1:10" ht="13.5" thickTop="1" x14ac:dyDescent="0.3">
      <c r="A506" s="91"/>
      <c r="B506" s="104" t="s">
        <v>44</v>
      </c>
      <c r="C506" s="74"/>
      <c r="D506" s="74"/>
      <c r="E506" s="74"/>
      <c r="F506" s="74"/>
      <c r="G506" s="74"/>
      <c r="H506" s="346">
        <v>4160.5472306974198</v>
      </c>
      <c r="I506" s="346">
        <f>SUM(I504:I505)</f>
        <v>4136.827448450118</v>
      </c>
      <c r="J506" s="113"/>
    </row>
    <row r="507" spans="1:10" ht="13" x14ac:dyDescent="0.3">
      <c r="A507" s="91"/>
      <c r="B507" s="74"/>
      <c r="C507" s="74"/>
      <c r="D507" s="74"/>
      <c r="E507" s="74"/>
      <c r="F507" s="74"/>
      <c r="G507" s="74"/>
      <c r="H507" s="74"/>
      <c r="I507" s="74"/>
      <c r="J507" s="113"/>
    </row>
    <row r="508" spans="1:10" ht="13" x14ac:dyDescent="0.3">
      <c r="A508" s="91"/>
      <c r="B508" s="104" t="s">
        <v>45</v>
      </c>
      <c r="C508" s="74"/>
      <c r="D508" s="74"/>
      <c r="E508" s="74"/>
      <c r="F508" s="74"/>
      <c r="G508" s="74"/>
      <c r="H508" s="84">
        <v>4160</v>
      </c>
      <c r="I508" s="84">
        <f>ROUND(I506,-1)</f>
        <v>4140</v>
      </c>
      <c r="J508" s="113"/>
    </row>
    <row r="509" spans="1:10" ht="13" x14ac:dyDescent="0.3">
      <c r="A509" s="91"/>
      <c r="B509" s="74"/>
      <c r="C509" s="74"/>
      <c r="D509" s="74"/>
      <c r="E509" s="74"/>
      <c r="F509" s="74"/>
      <c r="G509" s="74"/>
      <c r="H509" s="76"/>
      <c r="I509" s="76"/>
      <c r="J509" s="113"/>
    </row>
    <row r="510" spans="1:10" ht="13" x14ac:dyDescent="0.3">
      <c r="A510" s="91"/>
      <c r="B510" s="74"/>
      <c r="C510" s="74"/>
      <c r="D510" s="74"/>
      <c r="E510" s="74"/>
      <c r="F510" s="74"/>
      <c r="G510" s="74"/>
      <c r="H510" s="112">
        <v>-0.32664292651343479</v>
      </c>
      <c r="I510" s="112">
        <f>(+I508-H508)/H508</f>
        <v>-4.807692307692308E-3</v>
      </c>
      <c r="J510" s="113"/>
    </row>
    <row r="511" spans="1:10" ht="13" x14ac:dyDescent="0.3">
      <c r="A511" s="91"/>
      <c r="B511" s="74"/>
      <c r="C511" s="74"/>
      <c r="D511" s="74"/>
      <c r="E511" s="74"/>
      <c r="F511" s="74"/>
      <c r="G511" s="74"/>
      <c r="H511" s="112"/>
      <c r="I511" s="112"/>
      <c r="J511" s="113"/>
    </row>
    <row r="512" spans="1:10" ht="13.5" thickBot="1" x14ac:dyDescent="0.35">
      <c r="A512" s="448"/>
      <c r="B512" s="798"/>
      <c r="C512" s="798"/>
      <c r="D512" s="798"/>
      <c r="E512" s="798"/>
      <c r="F512" s="798"/>
      <c r="G512" s="798"/>
      <c r="H512" s="799"/>
      <c r="I512" s="799"/>
      <c r="J512" s="113"/>
    </row>
    <row r="513" spans="1:10" ht="13.5" thickTop="1" x14ac:dyDescent="0.3">
      <c r="A513" s="91"/>
      <c r="B513" s="74"/>
      <c r="C513" s="74"/>
      <c r="D513" s="74"/>
      <c r="E513" s="74"/>
      <c r="F513" s="74"/>
      <c r="G513" s="74"/>
      <c r="H513" s="112"/>
      <c r="I513" s="112"/>
      <c r="J513" s="113"/>
    </row>
    <row r="514" spans="1:10" ht="39.75" customHeight="1" x14ac:dyDescent="0.3">
      <c r="A514" s="91"/>
      <c r="B514" s="147" t="s">
        <v>718</v>
      </c>
      <c r="C514" s="826"/>
      <c r="D514" s="826"/>
      <c r="E514" s="826"/>
      <c r="F514" s="826"/>
      <c r="G514" s="827"/>
      <c r="H514" s="810" t="s">
        <v>661</v>
      </c>
      <c r="I514" s="810" t="s">
        <v>661</v>
      </c>
      <c r="J514" s="113"/>
    </row>
    <row r="515" spans="1:10" ht="13" x14ac:dyDescent="0.3">
      <c r="A515" s="91"/>
      <c r="B515" s="794"/>
      <c r="C515" s="794"/>
      <c r="D515" s="794"/>
      <c r="E515" s="794"/>
      <c r="F515" s="794"/>
      <c r="G515" s="794"/>
      <c r="H515" s="103" t="s">
        <v>734</v>
      </c>
      <c r="I515" s="103" t="str">
        <f>+'Unit tariffs'!$F$11</f>
        <v>2026/2027</v>
      </c>
      <c r="J515" s="113"/>
    </row>
    <row r="516" spans="1:10" ht="13" x14ac:dyDescent="0.3">
      <c r="A516" s="91"/>
      <c r="B516" s="794"/>
      <c r="C516" s="794"/>
      <c r="D516" s="794"/>
      <c r="E516" s="794"/>
      <c r="F516" s="794"/>
      <c r="G516" s="794"/>
      <c r="H516" s="131"/>
      <c r="I516" s="131"/>
      <c r="J516" s="113"/>
    </row>
    <row r="517" spans="1:10" ht="13" x14ac:dyDescent="0.3">
      <c r="A517" s="91"/>
      <c r="B517" s="104" t="s">
        <v>41</v>
      </c>
      <c r="C517" s="74"/>
      <c r="D517" s="74"/>
      <c r="E517" s="74"/>
      <c r="F517" s="74"/>
      <c r="G517" s="74"/>
      <c r="H517" s="76"/>
      <c r="I517" s="76"/>
      <c r="J517" s="113"/>
    </row>
    <row r="518" spans="1:10" ht="13" x14ac:dyDescent="0.3">
      <c r="A518" s="91"/>
      <c r="B518" s="74">
        <v>1</v>
      </c>
      <c r="C518" s="74" t="str">
        <f>+'Unit tariffs'!B61</f>
        <v>SPB1 Pole box</v>
      </c>
      <c r="D518" s="74"/>
      <c r="E518" s="74"/>
      <c r="F518" s="74"/>
      <c r="G518" s="74"/>
      <c r="H518" s="76">
        <v>488.91826760000004</v>
      </c>
      <c r="I518" s="76">
        <f>VLOOKUP($C518,'Unit tariffs'!$B$21:$F$123,5,FALSE)*$B518</f>
        <v>485.70170005</v>
      </c>
      <c r="J518" s="113"/>
    </row>
    <row r="519" spans="1:10" ht="13" x14ac:dyDescent="0.3">
      <c r="A519" s="91"/>
      <c r="B519" s="74">
        <v>4</v>
      </c>
      <c r="C519" s="74" t="str">
        <f>+'Unit tariffs'!B70</f>
        <v>Suspension clamp for Airdac</v>
      </c>
      <c r="D519" s="74"/>
      <c r="E519" s="74"/>
      <c r="F519" s="74"/>
      <c r="G519" s="74"/>
      <c r="H519" s="76">
        <v>68.244960000000006</v>
      </c>
      <c r="I519" s="76">
        <f>VLOOKUP($C519,'Unit tariffs'!$B$21:$F$123,5,FALSE)*$B519</f>
        <v>67.79598</v>
      </c>
      <c r="J519" s="113"/>
    </row>
    <row r="520" spans="1:10" ht="13" x14ac:dyDescent="0.3">
      <c r="A520" s="91"/>
      <c r="B520" s="74">
        <v>1</v>
      </c>
      <c r="C520" s="74" t="str">
        <f>+'Unit tariffs'!B48</f>
        <v>Current transformers for LV metering (Not sure)</v>
      </c>
      <c r="D520" s="74"/>
      <c r="E520" s="74"/>
      <c r="F520" s="74"/>
      <c r="G520" s="74"/>
      <c r="H520" s="81">
        <v>0</v>
      </c>
      <c r="I520" s="81">
        <f>VLOOKUP($C520,'Unit tariffs'!$B$21:$F$123,5,FALSE)*$B520</f>
        <v>0</v>
      </c>
      <c r="J520" s="113"/>
    </row>
    <row r="521" spans="1:10" ht="13" x14ac:dyDescent="0.3">
      <c r="A521" s="91"/>
      <c r="B521" s="74"/>
      <c r="C521" s="74"/>
      <c r="D521" s="74"/>
      <c r="E521" s="74"/>
      <c r="F521" s="74"/>
      <c r="G521" s="74"/>
      <c r="H521" s="76">
        <v>557.16322760000003</v>
      </c>
      <c r="I521" s="76">
        <f>SUM(I518:I520)</f>
        <v>553.49768004999999</v>
      </c>
      <c r="J521" s="113"/>
    </row>
    <row r="522" spans="1:10" ht="13" x14ac:dyDescent="0.3">
      <c r="A522" s="91"/>
      <c r="B522" s="104" t="s">
        <v>42</v>
      </c>
      <c r="C522" s="74"/>
      <c r="D522" s="74"/>
      <c r="E522" s="74"/>
      <c r="F522" s="74"/>
      <c r="G522" s="74"/>
      <c r="H522" s="74"/>
      <c r="I522" s="74"/>
      <c r="J522" s="113"/>
    </row>
    <row r="523" spans="1:10" ht="13" x14ac:dyDescent="0.3">
      <c r="A523" s="91"/>
      <c r="B523" s="74"/>
      <c r="C523" s="74"/>
      <c r="D523" s="74"/>
      <c r="E523" s="74"/>
      <c r="F523" s="74"/>
      <c r="G523" s="74"/>
      <c r="H523" s="74"/>
      <c r="I523" s="74"/>
      <c r="J523" s="113"/>
    </row>
    <row r="524" spans="1:10" ht="13" x14ac:dyDescent="0.3">
      <c r="A524" s="91"/>
      <c r="B524" s="74">
        <v>3</v>
      </c>
      <c r="C524" s="74" t="str">
        <f>'Unit tariffs'!B$87</f>
        <v xml:space="preserve">hour-artisan </v>
      </c>
      <c r="D524" s="74"/>
      <c r="E524" s="74"/>
      <c r="F524" s="74"/>
      <c r="G524" s="74"/>
      <c r="H524" s="76">
        <v>1053.5782984615387</v>
      </c>
      <c r="I524" s="76">
        <f>VLOOKUP($C524,'Unit tariffs'!$B$21:$F$123,5,FALSE)*$B524</f>
        <v>1053.5782984615387</v>
      </c>
      <c r="J524" s="113"/>
    </row>
    <row r="525" spans="1:10" ht="13" x14ac:dyDescent="0.3">
      <c r="A525" s="91"/>
      <c r="B525" s="74">
        <v>1.6</v>
      </c>
      <c r="C525" s="74" t="str">
        <f>'Unit tariffs'!B$85</f>
        <v>hour-artisan assistant</v>
      </c>
      <c r="D525" s="74"/>
      <c r="E525" s="74"/>
      <c r="F525" s="74"/>
      <c r="G525" s="74"/>
      <c r="H525" s="81">
        <v>223.71881353846157</v>
      </c>
      <c r="I525" s="81">
        <f>VLOOKUP($C525,'Unit tariffs'!$B$21:$F$123,5,FALSE)*$B525</f>
        <v>223.71881353846157</v>
      </c>
      <c r="J525" s="113"/>
    </row>
    <row r="526" spans="1:10" ht="13" x14ac:dyDescent="0.3">
      <c r="A526" s="91"/>
      <c r="B526" s="74"/>
      <c r="C526" s="74"/>
      <c r="D526" s="74"/>
      <c r="E526" s="74"/>
      <c r="F526" s="74"/>
      <c r="G526" s="74"/>
      <c r="H526" s="76">
        <v>1277.2971120000002</v>
      </c>
      <c r="I526" s="76">
        <f>SUM(I524:I525)</f>
        <v>1277.2971120000002</v>
      </c>
      <c r="J526" s="113"/>
    </row>
    <row r="527" spans="1:10" ht="13" x14ac:dyDescent="0.3">
      <c r="A527" s="91"/>
      <c r="B527" s="104" t="s">
        <v>43</v>
      </c>
      <c r="C527" s="74"/>
      <c r="D527" s="74"/>
      <c r="E527" s="74"/>
      <c r="F527" s="74"/>
      <c r="G527" s="74"/>
      <c r="H527" s="74"/>
      <c r="I527" s="74"/>
      <c r="J527" s="113"/>
    </row>
    <row r="528" spans="1:10" ht="13" x14ac:dyDescent="0.3">
      <c r="A528" s="91"/>
      <c r="B528" s="74"/>
      <c r="C528" s="74"/>
      <c r="D528" s="74"/>
      <c r="E528" s="74"/>
      <c r="F528" s="74"/>
      <c r="G528" s="74"/>
      <c r="H528" s="74"/>
      <c r="I528" s="74"/>
      <c r="J528" s="113"/>
    </row>
    <row r="529" spans="1:10" ht="13" x14ac:dyDescent="0.3">
      <c r="A529" s="91"/>
      <c r="B529" s="74">
        <v>12</v>
      </c>
      <c r="C529" s="74" t="str">
        <f>'Unit tariffs'!B$111</f>
        <v>km-truck with platform</v>
      </c>
      <c r="D529" s="74"/>
      <c r="E529" s="74"/>
      <c r="F529" s="74"/>
      <c r="G529" s="74"/>
      <c r="H529" s="76">
        <v>595.31641627616466</v>
      </c>
      <c r="I529" s="76">
        <f>VLOOKUP($C529,'Unit tariffs'!$B$21:$F$123,5,FALSE)*$B529</f>
        <v>591.39986090592663</v>
      </c>
      <c r="J529" s="113"/>
    </row>
    <row r="530" spans="1:10" ht="13" x14ac:dyDescent="0.3">
      <c r="A530" s="91"/>
      <c r="B530" s="74">
        <v>1</v>
      </c>
      <c r="C530" s="74" t="str">
        <f>'Unit tariffs'!B$112</f>
        <v>hour-truck with platform</v>
      </c>
      <c r="D530" s="74"/>
      <c r="E530" s="74"/>
      <c r="F530" s="74"/>
      <c r="G530" s="74"/>
      <c r="H530" s="81">
        <v>241.43148553267841</v>
      </c>
      <c r="I530" s="81">
        <f>VLOOKUP($C530,'Unit tariffs'!$B$21:$F$123,5,FALSE)*$B530</f>
        <v>239.8431204962792</v>
      </c>
      <c r="J530" s="113"/>
    </row>
    <row r="531" spans="1:10" ht="13.5" thickBot="1" x14ac:dyDescent="0.35">
      <c r="A531" s="91"/>
      <c r="B531" s="74"/>
      <c r="C531" s="74"/>
      <c r="D531" s="74"/>
      <c r="E531" s="74"/>
      <c r="F531" s="74"/>
      <c r="G531" s="74"/>
      <c r="H531" s="710">
        <v>836.74790180884304</v>
      </c>
      <c r="I531" s="710">
        <f>SUM(I529:I530)</f>
        <v>831.24298140220583</v>
      </c>
      <c r="J531" s="113"/>
    </row>
    <row r="532" spans="1:10" ht="13.5" thickTop="1" x14ac:dyDescent="0.3">
      <c r="A532" s="91"/>
      <c r="B532" s="74"/>
      <c r="C532" s="74"/>
      <c r="D532" s="74"/>
      <c r="E532" s="74"/>
      <c r="F532" s="74"/>
      <c r="G532" s="74"/>
      <c r="H532" s="189">
        <v>2671.2082414088432</v>
      </c>
      <c r="I532" s="189">
        <f>I521+I526+I531</f>
        <v>2662.0377734522058</v>
      </c>
      <c r="J532" s="113"/>
    </row>
    <row r="533" spans="1:10" ht="13.5" thickBot="1" x14ac:dyDescent="0.35">
      <c r="A533" s="91"/>
      <c r="B533" s="104" t="str">
        <f>'Unit tariffs'!$B$7</f>
        <v>Administration Levy (Indirect Cost)</v>
      </c>
      <c r="C533" s="74"/>
      <c r="D533" s="106">
        <f>'Unit tariffs'!$C$7</f>
        <v>0.1</v>
      </c>
      <c r="E533" s="74" t="s">
        <v>311</v>
      </c>
      <c r="F533" s="186">
        <f>+'Unit tariffs'!$F$7</f>
        <v>10000</v>
      </c>
      <c r="G533" s="74"/>
      <c r="H533" s="343">
        <v>267.12082414088434</v>
      </c>
      <c r="I533" s="343">
        <f>IF(I532*$D533&gt;='Unit tariffs'!$E$7,'Unit tariffs'!$E$7,I532*$D533)</f>
        <v>266.2037773452206</v>
      </c>
      <c r="J533" s="113"/>
    </row>
    <row r="534" spans="1:10" ht="13.5" thickTop="1" x14ac:dyDescent="0.3">
      <c r="A534" s="91"/>
      <c r="B534" s="104" t="s">
        <v>44</v>
      </c>
      <c r="C534" s="74"/>
      <c r="D534" s="74"/>
      <c r="E534" s="74"/>
      <c r="F534" s="74"/>
      <c r="G534" s="74"/>
      <c r="H534" s="346">
        <v>2938.3290655497276</v>
      </c>
      <c r="I534" s="346">
        <f>SUM(I532:I533)</f>
        <v>2928.2415507974265</v>
      </c>
      <c r="J534" s="113"/>
    </row>
    <row r="535" spans="1:10" ht="13" x14ac:dyDescent="0.3">
      <c r="A535" s="91"/>
      <c r="B535" s="74"/>
      <c r="C535" s="74"/>
      <c r="D535" s="74"/>
      <c r="E535" s="74"/>
      <c r="F535" s="74"/>
      <c r="G535" s="74"/>
      <c r="H535" s="74"/>
      <c r="I535" s="74"/>
      <c r="J535" s="113"/>
    </row>
    <row r="536" spans="1:10" ht="13" x14ac:dyDescent="0.3">
      <c r="A536" s="91"/>
      <c r="B536" s="104" t="s">
        <v>45</v>
      </c>
      <c r="C536" s="74"/>
      <c r="D536" s="74"/>
      <c r="E536" s="74"/>
      <c r="F536" s="74"/>
      <c r="G536" s="74"/>
      <c r="H536" s="84">
        <v>2940</v>
      </c>
      <c r="I536" s="84">
        <f>ROUND(I534,-1)</f>
        <v>2930</v>
      </c>
      <c r="J536" s="113"/>
    </row>
    <row r="537" spans="1:10" ht="13" x14ac:dyDescent="0.3">
      <c r="A537" s="91"/>
      <c r="B537" s="74"/>
      <c r="C537" s="74"/>
      <c r="D537" s="74"/>
      <c r="E537" s="74"/>
      <c r="F537" s="74"/>
      <c r="G537" s="74"/>
      <c r="H537" s="76"/>
      <c r="I537" s="76"/>
      <c r="J537" s="113"/>
    </row>
    <row r="538" spans="1:10" ht="13" x14ac:dyDescent="0.3">
      <c r="A538" s="91"/>
      <c r="B538" s="74"/>
      <c r="C538" s="74"/>
      <c r="D538" s="74"/>
      <c r="E538" s="74"/>
      <c r="F538" s="74"/>
      <c r="G538" s="74"/>
      <c r="H538" s="112">
        <v>0.16205533596837945</v>
      </c>
      <c r="I538" s="112">
        <f>(+I536-H536)/H536</f>
        <v>-3.4013605442176869E-3</v>
      </c>
      <c r="J538" s="113"/>
    </row>
    <row r="539" spans="1:10" ht="13" x14ac:dyDescent="0.3">
      <c r="A539" s="91"/>
      <c r="B539" s="74"/>
      <c r="C539" s="74"/>
      <c r="D539" s="74"/>
      <c r="E539" s="74"/>
      <c r="F539" s="74"/>
      <c r="G539" s="74"/>
      <c r="H539" s="112"/>
      <c r="I539" s="112"/>
      <c r="J539" s="113"/>
    </row>
    <row r="540" spans="1:10" ht="13.5" thickBot="1" x14ac:dyDescent="0.35">
      <c r="A540" s="448"/>
      <c r="B540" s="123"/>
      <c r="C540" s="123"/>
      <c r="D540" s="123"/>
      <c r="E540" s="123"/>
      <c r="F540" s="123"/>
      <c r="G540" s="123"/>
      <c r="H540" s="130"/>
      <c r="I540" s="130"/>
      <c r="J540" s="113"/>
    </row>
    <row r="541" spans="1:10" ht="13.5" thickTop="1" x14ac:dyDescent="0.3">
      <c r="A541" s="811"/>
      <c r="B541" s="689"/>
      <c r="C541" s="689"/>
      <c r="D541" s="689"/>
      <c r="E541" s="689"/>
      <c r="F541" s="689"/>
      <c r="G541" s="689"/>
      <c r="H541" s="812"/>
      <c r="I541" s="812"/>
      <c r="J541" s="113"/>
    </row>
    <row r="542" spans="1:10" ht="13.5" thickBot="1" x14ac:dyDescent="0.35">
      <c r="A542" s="803"/>
      <c r="B542" s="804"/>
      <c r="C542" s="804"/>
      <c r="D542" s="804"/>
      <c r="E542" s="804"/>
      <c r="F542" s="804"/>
      <c r="G542" s="804"/>
      <c r="H542" s="813"/>
      <c r="I542" s="813"/>
      <c r="J542" s="113"/>
    </row>
    <row r="543" spans="1:10" ht="13.5" thickTop="1" x14ac:dyDescent="0.3">
      <c r="A543" s="91"/>
      <c r="B543" s="74"/>
      <c r="C543" s="74"/>
      <c r="D543" s="74"/>
      <c r="E543" s="74"/>
      <c r="F543" s="74"/>
      <c r="G543" s="74"/>
      <c r="H543" s="112"/>
      <c r="I543" s="112"/>
      <c r="J543" s="113"/>
    </row>
    <row r="544" spans="1:10" ht="13" x14ac:dyDescent="0.3">
      <c r="A544" s="91"/>
      <c r="B544" s="74"/>
      <c r="C544" s="74"/>
      <c r="D544" s="74"/>
      <c r="E544" s="74"/>
      <c r="F544" s="74"/>
      <c r="G544" s="74"/>
      <c r="H544" s="112"/>
      <c r="I544" s="112"/>
      <c r="J544" s="113"/>
    </row>
    <row r="545" spans="1:10" ht="13" x14ac:dyDescent="0.3">
      <c r="A545" s="91"/>
      <c r="B545" s="74"/>
      <c r="C545" s="74"/>
      <c r="D545" s="74"/>
      <c r="E545" s="74"/>
      <c r="F545" s="74"/>
      <c r="G545" s="74"/>
      <c r="H545" s="112"/>
      <c r="I545" s="112"/>
      <c r="J545" s="113"/>
    </row>
    <row r="546" spans="1:10" ht="23.5" customHeight="1" x14ac:dyDescent="0.3">
      <c r="A546" s="91"/>
      <c r="B546" s="147" t="s">
        <v>647</v>
      </c>
      <c r="C546" s="826"/>
      <c r="D546" s="826"/>
      <c r="E546" s="826"/>
      <c r="F546" s="826"/>
      <c r="G546" s="827"/>
      <c r="H546" s="74"/>
      <c r="I546" s="74"/>
      <c r="J546" s="95"/>
    </row>
    <row r="547" spans="1:10" ht="13" x14ac:dyDescent="0.3">
      <c r="A547" s="91"/>
      <c r="B547" s="74"/>
      <c r="C547" s="74"/>
      <c r="D547" s="74"/>
      <c r="E547" s="74"/>
      <c r="F547" s="74"/>
      <c r="G547" s="74"/>
      <c r="H547" s="74"/>
      <c r="I547" s="74"/>
      <c r="J547" s="95"/>
    </row>
    <row r="548" spans="1:10" ht="13" x14ac:dyDescent="0.3">
      <c r="A548" s="91"/>
      <c r="B548" s="122"/>
      <c r="C548" s="74"/>
      <c r="D548" s="74"/>
      <c r="E548" s="74" t="s">
        <v>1</v>
      </c>
      <c r="F548" s="74"/>
      <c r="G548" s="74"/>
      <c r="H548" s="74"/>
      <c r="I548" s="74"/>
      <c r="J548" s="95"/>
    </row>
    <row r="549" spans="1:10" ht="31.5" customHeight="1" x14ac:dyDescent="0.3">
      <c r="A549" s="91"/>
      <c r="B549" s="973" t="s">
        <v>651</v>
      </c>
      <c r="C549" s="974"/>
      <c r="D549" s="974"/>
      <c r="E549" s="974"/>
      <c r="F549" s="974"/>
      <c r="G549" s="975"/>
      <c r="H549" s="806" t="s">
        <v>665</v>
      </c>
      <c r="I549" s="806" t="s">
        <v>665</v>
      </c>
      <c r="J549" s="95"/>
    </row>
    <row r="550" spans="1:10" ht="13" x14ac:dyDescent="0.3">
      <c r="A550" s="91"/>
      <c r="B550" s="74" t="s">
        <v>1</v>
      </c>
      <c r="C550" s="74"/>
      <c r="D550" s="74"/>
      <c r="E550" s="74"/>
      <c r="F550" s="74"/>
      <c r="G550" s="74"/>
      <c r="H550" s="74"/>
      <c r="I550" s="74"/>
      <c r="J550" s="95"/>
    </row>
    <row r="551" spans="1:10" ht="13" x14ac:dyDescent="0.3">
      <c r="A551" s="91"/>
      <c r="B551" s="74"/>
      <c r="C551" s="74"/>
      <c r="D551" s="74"/>
      <c r="E551" s="74"/>
      <c r="F551" s="74"/>
      <c r="G551" s="74"/>
      <c r="H551" s="128"/>
      <c r="I551" s="128"/>
      <c r="J551" s="95"/>
    </row>
    <row r="552" spans="1:10" ht="13" x14ac:dyDescent="0.3">
      <c r="A552" s="91"/>
      <c r="B552" s="74" t="s">
        <v>1</v>
      </c>
      <c r="C552" s="74"/>
      <c r="D552" s="74"/>
      <c r="E552" s="74"/>
      <c r="F552" s="74"/>
      <c r="G552" s="74"/>
      <c r="H552" s="74"/>
      <c r="I552" s="74"/>
      <c r="J552" s="95"/>
    </row>
    <row r="553" spans="1:10" ht="13" x14ac:dyDescent="0.3">
      <c r="A553" s="91"/>
      <c r="B553" s="74"/>
      <c r="C553" s="74"/>
      <c r="D553" s="74"/>
      <c r="E553" s="74"/>
      <c r="F553" s="74"/>
      <c r="G553" s="74"/>
      <c r="H553" s="103" t="str">
        <f>+'Unit tariffs'!$E$11</f>
        <v>2025/2026</v>
      </c>
      <c r="I553" s="103" t="str">
        <f>+'Unit tariffs'!$F$11</f>
        <v>2026/2027</v>
      </c>
      <c r="J553" s="444" t="s">
        <v>313</v>
      </c>
    </row>
    <row r="554" spans="1:10" ht="13" x14ac:dyDescent="0.3">
      <c r="A554" s="91"/>
      <c r="B554" s="104" t="s">
        <v>117</v>
      </c>
      <c r="C554" s="74"/>
      <c r="D554" s="74"/>
      <c r="E554" s="74"/>
      <c r="F554" s="74"/>
      <c r="G554" s="74"/>
      <c r="H554" s="74"/>
      <c r="I554" s="74"/>
      <c r="J554" s="450"/>
    </row>
    <row r="555" spans="1:10" ht="13" x14ac:dyDescent="0.3">
      <c r="A555" s="91"/>
      <c r="B555" s="74" t="s">
        <v>118</v>
      </c>
      <c r="C555" s="74"/>
      <c r="D555" s="74"/>
      <c r="E555" s="74"/>
      <c r="F555" s="74"/>
      <c r="G555" s="74"/>
      <c r="H555" s="74"/>
      <c r="I555" s="74"/>
      <c r="J555" s="450"/>
    </row>
    <row r="556" spans="1:10" ht="13" x14ac:dyDescent="0.3">
      <c r="A556" s="91"/>
      <c r="B556" s="74">
        <v>7.5</v>
      </c>
      <c r="C556" s="74" t="str">
        <f>'Unit tariffs'!B$131</f>
        <v>Primary Backbone - Urban</v>
      </c>
      <c r="D556" s="74"/>
      <c r="E556" s="74"/>
      <c r="F556" s="74" t="str">
        <f>'Unit tariffs'!C$131</f>
        <v>per kVA</v>
      </c>
      <c r="G556" s="74"/>
      <c r="H556" s="76">
        <f>VLOOKUP($C556,'Unit tariffs'!$B$21:$F$155,5,FALSE)*$B556</f>
        <v>10766.233825231502</v>
      </c>
      <c r="I556" s="76">
        <f>VLOOKUP($C556,'Unit tariffs'!$B$21:$F$155,5,FALSE)*$B556</f>
        <v>10766.233825231502</v>
      </c>
      <c r="J556" s="455"/>
    </row>
    <row r="557" spans="1:10" ht="13" x14ac:dyDescent="0.3">
      <c r="A557" s="91"/>
      <c r="B557" s="74">
        <v>7.5</v>
      </c>
      <c r="C557" s="74" t="str">
        <f>'Unit tariffs'!B$133</f>
        <v>Secondary Backbone - LV Urban</v>
      </c>
      <c r="D557" s="74"/>
      <c r="E557" s="74"/>
      <c r="F557" s="74" t="str">
        <f>'Unit tariffs'!C$132</f>
        <v>per kVA</v>
      </c>
      <c r="G557" s="74"/>
      <c r="H557" s="76">
        <f>VLOOKUP($C557,'Unit tariffs'!$B$21:$F$155,5,FALSE)*$B557</f>
        <v>9272.1027980542531</v>
      </c>
      <c r="I557" s="76">
        <f>VLOOKUP($C557,'Unit tariffs'!$B$21:$F$155,5,FALSE)*$B557</f>
        <v>9272.1027980542531</v>
      </c>
      <c r="J557" s="455"/>
    </row>
    <row r="558" spans="1:10" ht="13" x14ac:dyDescent="0.3">
      <c r="A558" s="91"/>
      <c r="B558" s="74">
        <v>7.5</v>
      </c>
      <c r="C558" s="74" t="str">
        <f>'Unit tariffs'!B$134</f>
        <v>LV Backbone -Urban</v>
      </c>
      <c r="D558" s="74"/>
      <c r="E558" s="74"/>
      <c r="F558" s="74" t="str">
        <f>'Unit tariffs'!C$133</f>
        <v>per kVA</v>
      </c>
      <c r="G558" s="74"/>
      <c r="H558" s="81">
        <f>VLOOKUP($C558,'Unit tariffs'!$B$21:$F$155,5,FALSE)*$B558</f>
        <v>3856.9929624765</v>
      </c>
      <c r="I558" s="81">
        <f>VLOOKUP($C558,'Unit tariffs'!$B$21:$F$155,5,FALSE)*$B558</f>
        <v>3856.9929624765</v>
      </c>
      <c r="J558" s="455"/>
    </row>
    <row r="559" spans="1:10" ht="13" x14ac:dyDescent="0.3">
      <c r="A559" s="91"/>
      <c r="B559" s="74"/>
      <c r="C559" s="74"/>
      <c r="D559" s="74"/>
      <c r="E559" s="74"/>
      <c r="F559" s="74"/>
      <c r="G559" s="74"/>
      <c r="H559" s="76">
        <f>SUM(H556:H558)</f>
        <v>23895.329585762254</v>
      </c>
      <c r="I559" s="76">
        <f>SUM(I556:I558)</f>
        <v>23895.329585762254</v>
      </c>
      <c r="J559" s="455"/>
    </row>
    <row r="560" spans="1:10" ht="13" x14ac:dyDescent="0.3">
      <c r="A560" s="91"/>
      <c r="B560" s="74"/>
      <c r="C560" s="74"/>
      <c r="D560" s="74"/>
      <c r="E560" s="74"/>
      <c r="F560" s="74"/>
      <c r="G560" s="74"/>
      <c r="H560" s="76"/>
      <c r="I560" s="76"/>
      <c r="J560" s="455"/>
    </row>
    <row r="561" spans="1:10" ht="13" x14ac:dyDescent="0.3">
      <c r="A561" s="91"/>
      <c r="B561" s="104" t="s">
        <v>41</v>
      </c>
      <c r="C561" s="74"/>
      <c r="D561" s="74"/>
      <c r="E561" s="74"/>
      <c r="F561" s="74"/>
      <c r="G561" s="74"/>
      <c r="H561" s="76"/>
      <c r="I561" s="76"/>
      <c r="J561" s="455"/>
    </row>
    <row r="562" spans="1:10" ht="14.5" x14ac:dyDescent="0.35">
      <c r="A562" s="91"/>
      <c r="B562" s="74">
        <v>1</v>
      </c>
      <c r="C562" s="705" t="str">
        <f>'Unit tariffs'!B46</f>
        <v>METER: TIME OF USE 100 AMP</v>
      </c>
      <c r="D562" s="74"/>
      <c r="E562" s="74"/>
      <c r="F562" s="74"/>
      <c r="G562" s="74"/>
      <c r="H562" s="76">
        <f>VLOOKUP(B562,'Unit tariffs'!A21:E123,5,FALSE)*$B562</f>
        <v>267.25</v>
      </c>
      <c r="I562" s="76">
        <f>VLOOKUP(C562,'Unit tariffs'!B21:F123,5,FALSE)*$B562</f>
        <v>0</v>
      </c>
      <c r="J562" s="457" t="e">
        <f>IF(+I562*'Unit tariffs'!#REF!&gt;'Unit tariffs'!#REF!,'Unit tariffs'!#REF!,+I562*'Unit tariffs'!#REF!)</f>
        <v>#REF!</v>
      </c>
    </row>
    <row r="563" spans="1:10" ht="13" x14ac:dyDescent="0.3">
      <c r="A563" s="91"/>
      <c r="B563" s="74">
        <v>1</v>
      </c>
      <c r="C563" s="74" t="str">
        <f>+'Unit tariffs'!B47</f>
        <v>Modum for TOU meter</v>
      </c>
      <c r="D563" s="74"/>
      <c r="E563" s="74"/>
      <c r="F563" s="74"/>
      <c r="G563" s="74"/>
      <c r="H563" s="76">
        <f>VLOOKUP($C563,'Unit tariffs'!$B$21:$F$123,5,FALSE)*$B563</f>
        <v>338.07595359999993</v>
      </c>
      <c r="I563" s="76">
        <f>VLOOKUP($C563,'Unit tariffs'!$B$21:$F$123,5,FALSE)*$B563</f>
        <v>338.07595359999993</v>
      </c>
      <c r="J563" s="457" t="e">
        <f>IF(+I563*'Unit tariffs'!#REF!&gt;'Unit tariffs'!#REF!,'Unit tariffs'!#REF!,+I563*'Unit tariffs'!#REF!)</f>
        <v>#REF!</v>
      </c>
    </row>
    <row r="564" spans="1:10" ht="13" x14ac:dyDescent="0.3">
      <c r="A564" s="91"/>
      <c r="B564" s="74">
        <v>3</v>
      </c>
      <c r="C564" s="74" t="str">
        <f>'Unit tariffs'!B43</f>
        <v>x 80 A circuit breaker (5kA) - Orange</v>
      </c>
      <c r="D564" s="74"/>
      <c r="E564" s="74"/>
      <c r="F564" s="74"/>
      <c r="G564" s="74"/>
      <c r="H564" s="76">
        <f>VLOOKUP($C564,'Unit tariffs'!$B$21:$F$123,5,FALSE)*$B564</f>
        <v>0</v>
      </c>
      <c r="I564" s="76">
        <f>VLOOKUP($C564,'Unit tariffs'!$B$21:$F$123,5,FALSE)*$B564</f>
        <v>0</v>
      </c>
      <c r="J564" s="457" t="e">
        <f>IF(+I564*'Unit tariffs'!#REF!&gt;'Unit tariffs'!#REF!,'Unit tariffs'!#REF!,+I564*'Unit tariffs'!#REF!)</f>
        <v>#REF!</v>
      </c>
    </row>
    <row r="565" spans="1:10" ht="13" x14ac:dyDescent="0.3">
      <c r="A565" s="91"/>
      <c r="B565" s="74">
        <v>1</v>
      </c>
      <c r="C565" s="74" t="str">
        <f>'Unit tariffs'!B21</f>
        <v>Installation material</v>
      </c>
      <c r="D565" s="74"/>
      <c r="E565" s="74"/>
      <c r="F565" s="74"/>
      <c r="G565" s="74"/>
      <c r="H565" s="81">
        <f>VLOOKUP($C565,'Unit tariffs'!$B$21:$F$123,5,FALSE)*$B565</f>
        <v>282.48325</v>
      </c>
      <c r="I565" s="81">
        <f>VLOOKUP($C565,'Unit tariffs'!$B$21:$F$123,5,FALSE)*$B565</f>
        <v>282.48325</v>
      </c>
      <c r="J565" s="457" t="e">
        <f>IF(+I565*'Unit tariffs'!#REF!&gt;'Unit tariffs'!#REF!,'Unit tariffs'!#REF!,+I565*'Unit tariffs'!#REF!)</f>
        <v>#REF!</v>
      </c>
    </row>
    <row r="566" spans="1:10" ht="13" x14ac:dyDescent="0.3">
      <c r="A566" s="91"/>
      <c r="B566" s="74"/>
      <c r="C566" s="74"/>
      <c r="D566" s="74"/>
      <c r="E566" s="74"/>
      <c r="F566" s="74"/>
      <c r="G566" s="76"/>
      <c r="H566" s="76">
        <f>SUM(H562:H565)</f>
        <v>887.80920359999993</v>
      </c>
      <c r="I566" s="76">
        <f>SUM(I562:I565)</f>
        <v>620.55920359999993</v>
      </c>
      <c r="J566" s="455"/>
    </row>
    <row r="567" spans="1:10" ht="13" x14ac:dyDescent="0.3">
      <c r="A567" s="91"/>
      <c r="B567" s="74"/>
      <c r="C567" s="74"/>
      <c r="D567" s="74"/>
      <c r="E567" s="74"/>
      <c r="F567" s="74"/>
      <c r="G567" s="76"/>
      <c r="H567" s="76"/>
      <c r="I567" s="76"/>
      <c r="J567" s="455"/>
    </row>
    <row r="568" spans="1:10" ht="13" x14ac:dyDescent="0.3">
      <c r="A568" s="91"/>
      <c r="B568" s="104" t="s">
        <v>42</v>
      </c>
      <c r="C568" s="74"/>
      <c r="D568" s="74"/>
      <c r="E568" s="74"/>
      <c r="F568" s="74"/>
      <c r="G568" s="74"/>
      <c r="J568" s="455"/>
    </row>
    <row r="569" spans="1:10" ht="13" x14ac:dyDescent="0.3">
      <c r="A569" s="91"/>
      <c r="B569" s="74"/>
      <c r="C569" s="74"/>
      <c r="D569" s="74"/>
      <c r="E569" s="74"/>
      <c r="F569" s="74"/>
      <c r="G569" s="74"/>
      <c r="J569" s="455"/>
    </row>
    <row r="570" spans="1:10" ht="13" x14ac:dyDescent="0.3">
      <c r="A570" s="91"/>
      <c r="B570" s="74">
        <v>2</v>
      </c>
      <c r="C570" s="74" t="str">
        <f>'Unit tariffs'!B$87</f>
        <v xml:space="preserve">hour-artisan </v>
      </c>
      <c r="D570" s="74"/>
      <c r="E570" s="74"/>
      <c r="F570" s="74"/>
      <c r="G570" s="74"/>
      <c r="H570" s="76">
        <f>VLOOKUP($C570,'Unit tariffs'!$B$21:$F$123,5,FALSE)*$B570</f>
        <v>702.38553230769242</v>
      </c>
      <c r="I570" s="76">
        <f>VLOOKUP($C570,'Unit tariffs'!$B$21:$F$123,5,FALSE)*$B570</f>
        <v>702.38553230769242</v>
      </c>
      <c r="J570" s="455"/>
    </row>
    <row r="571" spans="1:10" ht="13" x14ac:dyDescent="0.3">
      <c r="A571" s="91"/>
      <c r="B571" s="74">
        <f>+B570*2</f>
        <v>4</v>
      </c>
      <c r="C571" s="74" t="str">
        <f>'Unit tariffs'!B$85</f>
        <v>hour-artisan assistant</v>
      </c>
      <c r="D571" s="74"/>
      <c r="E571" s="74"/>
      <c r="F571" s="74"/>
      <c r="G571" s="74"/>
      <c r="H571" s="81">
        <f>VLOOKUP($C571,'Unit tariffs'!$B$21:$F$123,5,FALSE)*$B571</f>
        <v>559.29703384615391</v>
      </c>
      <c r="I571" s="81">
        <f>VLOOKUP($C571,'Unit tariffs'!$B$21:$F$123,5,FALSE)*$B571</f>
        <v>559.29703384615391</v>
      </c>
      <c r="J571" s="455"/>
    </row>
    <row r="572" spans="1:10" ht="13" x14ac:dyDescent="0.3">
      <c r="A572" s="91"/>
      <c r="B572" s="74"/>
      <c r="C572" s="74"/>
      <c r="D572" s="74"/>
      <c r="E572" s="74"/>
      <c r="F572" s="74"/>
      <c r="G572" s="74"/>
      <c r="H572" s="76">
        <f>SUM(H570:H571)</f>
        <v>1261.6825661538464</v>
      </c>
      <c r="I572" s="76">
        <f>SUM(I570:I571)</f>
        <v>1261.6825661538464</v>
      </c>
      <c r="J572" s="455"/>
    </row>
    <row r="573" spans="1:10" ht="13" x14ac:dyDescent="0.3">
      <c r="A573" s="91"/>
      <c r="B573" s="104" t="s">
        <v>43</v>
      </c>
      <c r="C573" s="74"/>
      <c r="D573" s="74"/>
      <c r="E573" s="74"/>
      <c r="F573" s="74"/>
      <c r="G573" s="74"/>
      <c r="J573" s="455"/>
    </row>
    <row r="574" spans="1:10" ht="13" x14ac:dyDescent="0.3">
      <c r="A574" s="91"/>
      <c r="B574" s="74"/>
      <c r="C574" s="74"/>
      <c r="D574" s="74"/>
      <c r="E574" s="74"/>
      <c r="F574" s="74"/>
      <c r="G574" s="74"/>
      <c r="J574" s="455"/>
    </row>
    <row r="575" spans="1:10" ht="13" x14ac:dyDescent="0.3">
      <c r="A575" s="91"/>
      <c r="B575" s="74">
        <v>24</v>
      </c>
      <c r="C575" s="74" t="str">
        <f>'Unit tariffs'!B$111</f>
        <v>km-truck with platform</v>
      </c>
      <c r="D575" s="74"/>
      <c r="E575" s="74"/>
      <c r="F575" s="74"/>
      <c r="G575" s="74"/>
      <c r="H575" s="76">
        <f>VLOOKUP($C575,'Unit tariffs'!$B$21:$F$123,5,FALSE)*$B575</f>
        <v>1182.7997218118533</v>
      </c>
      <c r="I575" s="76">
        <f>VLOOKUP($C575,'Unit tariffs'!$B$21:$F$123,5,FALSE)*$B575</f>
        <v>1182.7997218118533</v>
      </c>
      <c r="J575" s="455"/>
    </row>
    <row r="576" spans="1:10" ht="13" x14ac:dyDescent="0.3">
      <c r="A576" s="91"/>
      <c r="B576" s="74">
        <v>0.5</v>
      </c>
      <c r="C576" s="74" t="str">
        <f>'Unit tariffs'!B$112</f>
        <v>hour-truck with platform</v>
      </c>
      <c r="D576" s="74"/>
      <c r="E576" s="74"/>
      <c r="F576" s="74"/>
      <c r="G576" s="74"/>
      <c r="H576" s="76">
        <f>VLOOKUP($C576,'Unit tariffs'!$B$21:$F$123,5,FALSE)*$B576</f>
        <v>119.9215602481396</v>
      </c>
      <c r="I576" s="76">
        <f>VLOOKUP($C576,'Unit tariffs'!$B$21:$F$123,5,FALSE)*$B576</f>
        <v>119.9215602481396</v>
      </c>
      <c r="J576" s="455"/>
    </row>
    <row r="577" spans="1:10" ht="13" x14ac:dyDescent="0.3">
      <c r="A577" s="91"/>
      <c r="B577" s="74"/>
      <c r="C577" s="74"/>
      <c r="D577" s="74"/>
      <c r="E577" s="74"/>
      <c r="F577" s="74"/>
      <c r="G577" s="74"/>
      <c r="H577" s="137">
        <f>SUM(H575:H576)</f>
        <v>1302.721282059993</v>
      </c>
      <c r="I577" s="137">
        <f>SUM(I575:I576)</f>
        <v>1302.721282059993</v>
      </c>
      <c r="J577" s="455"/>
    </row>
    <row r="578" spans="1:10" ht="13" x14ac:dyDescent="0.3">
      <c r="A578" s="91"/>
      <c r="B578" s="74"/>
      <c r="C578" s="74"/>
      <c r="D578" s="74"/>
      <c r="E578" s="74"/>
      <c r="F578" s="74"/>
      <c r="G578" s="76"/>
      <c r="J578" s="455"/>
    </row>
    <row r="579" spans="1:10" ht="13" x14ac:dyDescent="0.3">
      <c r="A579" s="91"/>
      <c r="G579" s="76"/>
      <c r="J579" s="455"/>
    </row>
    <row r="580" spans="1:10" ht="13" x14ac:dyDescent="0.3">
      <c r="A580" s="91"/>
      <c r="B580" s="104" t="str">
        <f>'Unit tariffs'!$B$7</f>
        <v>Administration Levy (Indirect Cost)</v>
      </c>
      <c r="C580" s="74"/>
      <c r="D580" s="106">
        <f>'Unit tariffs'!$C$7</f>
        <v>0.1</v>
      </c>
      <c r="E580" s="74" t="s">
        <v>311</v>
      </c>
      <c r="F580" s="186">
        <f>+'Unit tariffs'!$F$7</f>
        <v>10000</v>
      </c>
      <c r="G580" s="76"/>
      <c r="H580" s="76">
        <f>+H577+H572+H566+H559</f>
        <v>27347.542637576094</v>
      </c>
      <c r="I580" s="76">
        <f>+I577+I572+I566+I559</f>
        <v>27080.292637576094</v>
      </c>
      <c r="J580" s="455"/>
    </row>
    <row r="581" spans="1:10" ht="13.5" thickBot="1" x14ac:dyDescent="0.35">
      <c r="A581" s="91"/>
      <c r="B581" s="104" t="s">
        <v>44</v>
      </c>
      <c r="C581" s="74"/>
      <c r="D581" s="74"/>
      <c r="E581" s="74"/>
      <c r="F581" s="74"/>
      <c r="G581" s="76"/>
      <c r="H581" s="108">
        <f>IF(H580*$D580&gt;='Unit tariffs'!$E$7,'Unit tariffs'!$E$7,H580*$D580)</f>
        <v>2734.7542637576098</v>
      </c>
      <c r="I581" s="108">
        <f>IF(I580*$D580&gt;='Unit tariffs'!$E$7,'Unit tariffs'!$E$7,I580*$D580)</f>
        <v>2708.0292637576094</v>
      </c>
      <c r="J581" s="455"/>
    </row>
    <row r="582" spans="1:10" ht="13.5" thickTop="1" x14ac:dyDescent="0.3">
      <c r="A582" s="91"/>
      <c r="B582" s="104"/>
      <c r="C582" s="74"/>
      <c r="D582" s="74"/>
      <c r="E582" s="74"/>
      <c r="F582" s="74"/>
      <c r="G582" s="74"/>
      <c r="H582" s="109">
        <f>SUM(H580:H581)</f>
        <v>30082.296901333706</v>
      </c>
      <c r="I582" s="109">
        <f>SUM(I580:I581)</f>
        <v>29788.321901333704</v>
      </c>
      <c r="J582" s="455"/>
    </row>
    <row r="583" spans="1:10" ht="13" x14ac:dyDescent="0.3">
      <c r="A583" s="91"/>
      <c r="B583" s="104" t="s">
        <v>45</v>
      </c>
      <c r="C583" s="74"/>
      <c r="D583" s="74"/>
      <c r="E583" s="74"/>
      <c r="F583" s="74"/>
      <c r="G583" s="74"/>
      <c r="H583" s="74"/>
      <c r="I583" s="74"/>
      <c r="J583" s="455"/>
    </row>
    <row r="584" spans="1:10" ht="13" x14ac:dyDescent="0.3">
      <c r="A584" s="91"/>
      <c r="B584" s="74"/>
      <c r="C584" s="74"/>
      <c r="D584" s="74"/>
      <c r="E584" s="74"/>
      <c r="F584" s="74"/>
      <c r="G584" s="74"/>
      <c r="H584" s="84">
        <f>ROUND(H582,-1)</f>
        <v>30080</v>
      </c>
      <c r="I584" s="84">
        <f>ROUND(I582,-1)</f>
        <v>29790</v>
      </c>
      <c r="J584" s="113"/>
    </row>
    <row r="585" spans="1:10" ht="13" x14ac:dyDescent="0.3">
      <c r="A585" s="91"/>
      <c r="B585" s="74"/>
      <c r="C585" s="74"/>
      <c r="D585" s="74"/>
      <c r="E585" s="74"/>
      <c r="F585" s="74"/>
      <c r="G585" s="74"/>
      <c r="H585" s="76"/>
      <c r="I585" s="76"/>
      <c r="J585" s="113"/>
    </row>
    <row r="586" spans="1:10" ht="13" x14ac:dyDescent="0.3">
      <c r="A586" s="91"/>
      <c r="B586" s="74"/>
      <c r="C586" s="74"/>
      <c r="D586" s="74"/>
      <c r="E586" s="74"/>
      <c r="F586" s="74"/>
      <c r="G586" s="74"/>
      <c r="H586" s="112" t="e">
        <f>(+H584-G584)/G584</f>
        <v>#DIV/0!</v>
      </c>
      <c r="I586" s="112">
        <f>(+I584-H584)/H584</f>
        <v>-9.6409574468085107E-3</v>
      </c>
      <c r="J586" s="113"/>
    </row>
    <row r="587" spans="1:10" ht="13" x14ac:dyDescent="0.3">
      <c r="A587" s="91"/>
      <c r="B587" s="74"/>
      <c r="C587" s="74"/>
      <c r="D587" s="74"/>
      <c r="E587" s="74"/>
      <c r="F587" s="74"/>
      <c r="G587" s="74"/>
      <c r="H587" s="112"/>
      <c r="I587" s="112"/>
      <c r="J587" s="113"/>
    </row>
    <row r="588" spans="1:10" ht="13.5" thickBot="1" x14ac:dyDescent="0.35">
      <c r="A588" s="448"/>
      <c r="B588" s="123"/>
      <c r="C588" s="123"/>
      <c r="D588" s="123"/>
      <c r="E588" s="123"/>
      <c r="F588" s="123"/>
      <c r="G588" s="123"/>
      <c r="H588" s="123"/>
      <c r="I588" s="123"/>
      <c r="J588" s="95"/>
    </row>
    <row r="589" spans="1:10" ht="13.5" thickTop="1" x14ac:dyDescent="0.3">
      <c r="A589" s="445"/>
      <c r="B589" s="134"/>
      <c r="C589" s="120"/>
      <c r="D589" s="120"/>
      <c r="E589" s="120" t="s">
        <v>1</v>
      </c>
      <c r="F589" s="120"/>
      <c r="G589" s="120"/>
      <c r="H589" s="120"/>
      <c r="I589" s="120"/>
      <c r="J589" s="95"/>
    </row>
    <row r="590" spans="1:10" ht="32.25" customHeight="1" x14ac:dyDescent="0.3">
      <c r="A590" s="91"/>
      <c r="B590" s="828" t="s">
        <v>650</v>
      </c>
      <c r="C590" s="831"/>
      <c r="D590" s="831"/>
      <c r="E590" s="831"/>
      <c r="F590" s="831"/>
      <c r="G590" s="832"/>
      <c r="H590" s="807" t="s">
        <v>666</v>
      </c>
      <c r="I590" s="807" t="s">
        <v>666</v>
      </c>
      <c r="J590" s="95"/>
    </row>
    <row r="591" spans="1:10" ht="13" x14ac:dyDescent="0.3">
      <c r="A591" s="91"/>
      <c r="B591" s="74" t="s">
        <v>1</v>
      </c>
      <c r="C591" s="74"/>
      <c r="D591" s="74"/>
      <c r="E591" s="74"/>
      <c r="F591" s="74"/>
      <c r="G591" s="74"/>
      <c r="H591" s="74"/>
      <c r="I591" s="74"/>
      <c r="J591" s="95"/>
    </row>
    <row r="592" spans="1:10" ht="13" x14ac:dyDescent="0.3">
      <c r="A592" s="91"/>
      <c r="B592" s="74"/>
      <c r="C592" s="74"/>
      <c r="D592" s="74"/>
      <c r="E592" s="74"/>
      <c r="F592" s="74"/>
      <c r="G592" s="74"/>
      <c r="H592" s="103" t="str">
        <f>+'Unit tariffs'!$F$11</f>
        <v>2026/2027</v>
      </c>
      <c r="I592" s="103" t="str">
        <f>+'Unit tariffs'!$F$11</f>
        <v>2026/2027</v>
      </c>
      <c r="J592" s="450"/>
    </row>
    <row r="593" spans="1:11" ht="13" x14ac:dyDescent="0.3">
      <c r="A593" s="91"/>
      <c r="B593" s="104" t="s">
        <v>117</v>
      </c>
      <c r="C593" s="74"/>
      <c r="D593" s="74"/>
      <c r="E593" s="74"/>
      <c r="F593" s="74"/>
      <c r="G593" s="74"/>
      <c r="H593" s="76"/>
      <c r="I593" s="76"/>
      <c r="J593" s="450"/>
    </row>
    <row r="594" spans="1:11" ht="13" x14ac:dyDescent="0.3">
      <c r="A594" s="91"/>
      <c r="B594" s="74" t="s">
        <v>118</v>
      </c>
      <c r="C594" s="74"/>
      <c r="D594" s="74"/>
      <c r="E594" s="74"/>
      <c r="F594" s="74"/>
      <c r="G594" s="74"/>
      <c r="J594" s="105"/>
    </row>
    <row r="595" spans="1:11" ht="13" x14ac:dyDescent="0.3">
      <c r="A595" s="91"/>
      <c r="B595" s="74">
        <v>7.5</v>
      </c>
      <c r="C595" s="74" t="str">
        <f>'Unit tariffs'!B$133</f>
        <v>Secondary Backbone - LV Urban</v>
      </c>
      <c r="D595" s="74"/>
      <c r="E595" s="74"/>
      <c r="F595" s="74" t="str">
        <f>'Unit tariffs'!C$132</f>
        <v>per kVA</v>
      </c>
      <c r="G595" s="74"/>
      <c r="H595" s="76">
        <f>VLOOKUP($C595,'Unit tariffs'!$B$21:$F$158,5,FALSE)*$B595</f>
        <v>9272.1027980542531</v>
      </c>
      <c r="I595" s="76">
        <f>VLOOKUP($C595,'Unit tariffs'!$B$21:$F$158,5,FALSE)*$B595</f>
        <v>9272.1027980542531</v>
      </c>
      <c r="J595" s="105"/>
    </row>
    <row r="596" spans="1:11" ht="13" x14ac:dyDescent="0.3">
      <c r="A596" s="91"/>
      <c r="B596" s="74">
        <v>7.5</v>
      </c>
      <c r="C596" s="74" t="str">
        <f>'Unit tariffs'!B$134</f>
        <v>LV Backbone -Urban</v>
      </c>
      <c r="D596" s="74"/>
      <c r="E596" s="74"/>
      <c r="F596" s="74" t="str">
        <f>'Unit tariffs'!C$133</f>
        <v>per kVA</v>
      </c>
      <c r="G596" s="74"/>
      <c r="H596" s="81">
        <f>VLOOKUP($C596,'Unit tariffs'!$B$21:$F$158,5,FALSE)*$B596</f>
        <v>3856.9929624765</v>
      </c>
      <c r="I596" s="81">
        <f>VLOOKUP($C596,'Unit tariffs'!$B$21:$F$158,5,FALSE)*$B596</f>
        <v>3856.9929624765</v>
      </c>
      <c r="J596" s="105"/>
    </row>
    <row r="597" spans="1:11" ht="13" x14ac:dyDescent="0.3">
      <c r="A597" s="91"/>
      <c r="B597" s="74"/>
      <c r="C597" s="74"/>
      <c r="D597" s="74"/>
      <c r="E597" s="74"/>
      <c r="F597" s="74"/>
      <c r="G597" s="74"/>
      <c r="H597" s="76">
        <f>SUM(H595:H596)</f>
        <v>13129.095760530752</v>
      </c>
      <c r="I597" s="76">
        <f>SUM(I595:I596)</f>
        <v>13129.095760530752</v>
      </c>
      <c r="J597" s="105"/>
    </row>
    <row r="598" spans="1:11" ht="13" x14ac:dyDescent="0.3">
      <c r="A598" s="91"/>
      <c r="B598" s="104" t="s">
        <v>41</v>
      </c>
      <c r="C598" s="74"/>
      <c r="D598" s="74"/>
      <c r="E598" s="74"/>
      <c r="F598" s="74"/>
      <c r="G598" s="74"/>
      <c r="H598" s="76"/>
      <c r="I598" s="76"/>
      <c r="J598" s="95"/>
    </row>
    <row r="599" spans="1:11" ht="14.5" x14ac:dyDescent="0.35">
      <c r="A599" s="91"/>
      <c r="B599" s="74">
        <v>1</v>
      </c>
      <c r="C599" s="705" t="str">
        <f>'Unit tariffs'!B46</f>
        <v>METER: TIME OF USE 100 AMP</v>
      </c>
      <c r="D599" s="74"/>
      <c r="E599" s="74"/>
      <c r="F599" s="74"/>
      <c r="G599" s="74"/>
      <c r="H599" s="76">
        <f>VLOOKUP($C599,'Unit tariffs'!$B$21:$F$123,5,FALSE)*$B599</f>
        <v>0</v>
      </c>
      <c r="I599" s="76">
        <f>VLOOKUP($C599,'Unit tariffs'!$B$21:$F$123,5,FALSE)*$B599</f>
        <v>0</v>
      </c>
      <c r="J599" s="457" t="e">
        <f>IF(+I599*'Unit tariffs'!#REF!&gt;'Unit tariffs'!#REF!,'Unit tariffs'!#REF!,+I599*'Unit tariffs'!#REF!)</f>
        <v>#REF!</v>
      </c>
      <c r="K599" s="344"/>
    </row>
    <row r="600" spans="1:11" ht="13" x14ac:dyDescent="0.3">
      <c r="A600" s="91"/>
      <c r="B600" s="74">
        <v>0</v>
      </c>
      <c r="C600" s="74" t="str">
        <f>+'Unit tariffs'!B47</f>
        <v>Modum for TOU meter</v>
      </c>
      <c r="D600" s="74"/>
      <c r="E600" s="74"/>
      <c r="F600" s="74"/>
      <c r="G600" s="74"/>
      <c r="H600" s="76">
        <f>VLOOKUP($C600,'Unit tariffs'!$B$21:$F$123,5,FALSE)*$B600</f>
        <v>0</v>
      </c>
      <c r="I600" s="76">
        <f>VLOOKUP($C600,'Unit tariffs'!$B$21:$F$123,5,FALSE)*$B600</f>
        <v>0</v>
      </c>
      <c r="J600" s="457" t="e">
        <f>IF(+I600*'Unit tariffs'!#REF!&gt;'Unit tariffs'!#REF!,'Unit tariffs'!#REF!,+I600*'Unit tariffs'!#REF!)</f>
        <v>#REF!</v>
      </c>
      <c r="K600" s="344"/>
    </row>
    <row r="601" spans="1:11" ht="13" x14ac:dyDescent="0.3">
      <c r="A601" s="91"/>
      <c r="B601" s="74">
        <v>3</v>
      </c>
      <c r="C601" s="74" t="str">
        <f>'Unit tariffs'!B43</f>
        <v>x 80 A circuit breaker (5kA) - Orange</v>
      </c>
      <c r="D601" s="74"/>
      <c r="E601" s="74"/>
      <c r="F601" s="74"/>
      <c r="G601" s="74"/>
      <c r="H601" s="76">
        <f>VLOOKUP($C601,'Unit tariffs'!$B$21:$F$123,5,FALSE)*$B601</f>
        <v>0</v>
      </c>
      <c r="I601" s="76">
        <f>VLOOKUP($C601,'Unit tariffs'!$B$21:$F$123,5,FALSE)*$B601</f>
        <v>0</v>
      </c>
      <c r="J601" s="457" t="e">
        <f>IF(+I601*'Unit tariffs'!#REF!&gt;'Unit tariffs'!#REF!,'Unit tariffs'!#REF!,+I601*'Unit tariffs'!#REF!)</f>
        <v>#REF!</v>
      </c>
      <c r="K601" s="344"/>
    </row>
    <row r="602" spans="1:11" ht="13" x14ac:dyDescent="0.3">
      <c r="A602" s="91"/>
      <c r="B602" s="74">
        <v>1</v>
      </c>
      <c r="C602" s="74" t="str">
        <f>'Unit tariffs'!B21</f>
        <v>Installation material</v>
      </c>
      <c r="D602" s="74"/>
      <c r="E602" s="74"/>
      <c r="F602" s="74"/>
      <c r="G602" s="74"/>
      <c r="H602" s="81">
        <f>VLOOKUP($C602,'Unit tariffs'!$B$21:$F$123,5,FALSE)*$B602</f>
        <v>282.48325</v>
      </c>
      <c r="I602" s="81">
        <f>VLOOKUP($C602,'Unit tariffs'!$B$21:$F$123,5,FALSE)*$B602</f>
        <v>282.48325</v>
      </c>
      <c r="J602" s="457" t="e">
        <f>IF(+I602*'Unit tariffs'!#REF!&gt;'Unit tariffs'!#REF!,'Unit tariffs'!#REF!,+I602*'Unit tariffs'!#REF!)</f>
        <v>#REF!</v>
      </c>
      <c r="K602" s="344"/>
    </row>
    <row r="603" spans="1:11" ht="13" x14ac:dyDescent="0.3">
      <c r="A603" s="91"/>
      <c r="B603" s="74"/>
      <c r="C603" s="74"/>
      <c r="D603" s="74"/>
      <c r="E603" s="74"/>
      <c r="F603" s="74"/>
      <c r="G603" s="76"/>
      <c r="H603" s="76">
        <f>SUM(H599:H602)</f>
        <v>282.48325</v>
      </c>
      <c r="I603" s="76">
        <f>SUM(I599:I602)</f>
        <v>282.48325</v>
      </c>
      <c r="J603" s="95"/>
    </row>
    <row r="604" spans="1:11" ht="13" x14ac:dyDescent="0.3">
      <c r="A604" s="91"/>
      <c r="B604" s="104" t="s">
        <v>42</v>
      </c>
      <c r="C604" s="74"/>
      <c r="D604" s="74"/>
      <c r="E604" s="74"/>
      <c r="F604" s="74"/>
      <c r="G604" s="74"/>
      <c r="H604" s="74"/>
      <c r="I604" s="74"/>
      <c r="J604" s="95"/>
    </row>
    <row r="605" spans="1:11" ht="13" x14ac:dyDescent="0.3">
      <c r="A605" s="91"/>
      <c r="B605" s="74">
        <v>2</v>
      </c>
      <c r="C605" s="74" t="str">
        <f>'Unit tariffs'!B$87</f>
        <v xml:space="preserve">hour-artisan </v>
      </c>
      <c r="D605" s="74"/>
      <c r="E605" s="74"/>
      <c r="F605" s="74"/>
      <c r="G605" s="74"/>
      <c r="H605" s="76">
        <f>VLOOKUP($C605,'Unit tariffs'!$B$21:$F$123,5,FALSE)*$B605</f>
        <v>702.38553230769242</v>
      </c>
      <c r="I605" s="76">
        <f>VLOOKUP($C605,'Unit tariffs'!$B$21:$F$123,5,FALSE)*$B605</f>
        <v>702.38553230769242</v>
      </c>
      <c r="J605" s="105"/>
    </row>
    <row r="606" spans="1:11" ht="13" x14ac:dyDescent="0.3">
      <c r="A606" s="91"/>
      <c r="B606" s="74">
        <f>+B605*1</f>
        <v>2</v>
      </c>
      <c r="C606" s="74" t="str">
        <f>'Unit tariffs'!B$85</f>
        <v>hour-artisan assistant</v>
      </c>
      <c r="D606" s="74"/>
      <c r="E606" s="74"/>
      <c r="F606" s="74"/>
      <c r="G606" s="74"/>
      <c r="H606" s="81">
        <f>VLOOKUP($C606,'Unit tariffs'!$B$21:$F$123,5,FALSE)*$B606</f>
        <v>279.64851692307695</v>
      </c>
      <c r="I606" s="81">
        <f>VLOOKUP($C606,'Unit tariffs'!$B$21:$F$123,5,FALSE)*$B606</f>
        <v>279.64851692307695</v>
      </c>
      <c r="J606" s="105"/>
    </row>
    <row r="607" spans="1:11" ht="13" x14ac:dyDescent="0.3">
      <c r="A607" s="91"/>
      <c r="B607" s="74"/>
      <c r="C607" s="74"/>
      <c r="D607" s="74"/>
      <c r="E607" s="74"/>
      <c r="F607" s="74"/>
      <c r="G607" s="74"/>
      <c r="H607" s="76">
        <f>SUM(H605:I606)</f>
        <v>1964.0680984615387</v>
      </c>
      <c r="I607" s="76">
        <f>SUM(I605:J606)</f>
        <v>982.03404923076937</v>
      </c>
      <c r="J607" s="95"/>
    </row>
    <row r="608" spans="1:11" ht="13" x14ac:dyDescent="0.3">
      <c r="A608" s="91"/>
      <c r="B608" s="104" t="s">
        <v>43</v>
      </c>
      <c r="C608" s="74"/>
      <c r="D608" s="74"/>
      <c r="E608" s="74"/>
      <c r="F608" s="74"/>
      <c r="G608" s="74"/>
      <c r="H608" s="74"/>
      <c r="I608" s="74"/>
      <c r="J608" s="95"/>
    </row>
    <row r="609" spans="1:11" ht="13" x14ac:dyDescent="0.3">
      <c r="A609" s="91"/>
      <c r="B609" s="74">
        <v>24</v>
      </c>
      <c r="C609" s="74" t="str">
        <f>'Unit tariffs'!B$111</f>
        <v>km-truck with platform</v>
      </c>
      <c r="D609" s="74"/>
      <c r="E609" s="74"/>
      <c r="F609" s="74"/>
      <c r="G609" s="74"/>
      <c r="H609" s="76">
        <f>VLOOKUP($C609,'Unit tariffs'!$B$21:$F$123,5,FALSE)*$B609</f>
        <v>1182.7997218118533</v>
      </c>
      <c r="I609" s="76">
        <f>VLOOKUP($C609,'Unit tariffs'!$B$21:$F$123,5,FALSE)*$B609</f>
        <v>1182.7997218118533</v>
      </c>
      <c r="J609" s="105"/>
    </row>
    <row r="610" spans="1:11" ht="13" x14ac:dyDescent="0.3">
      <c r="A610" s="91"/>
      <c r="B610" s="74">
        <f>+B605</f>
        <v>2</v>
      </c>
      <c r="C610" s="74" t="str">
        <f>'Unit tariffs'!B$112</f>
        <v>hour-truck with platform</v>
      </c>
      <c r="D610" s="74"/>
      <c r="E610" s="74"/>
      <c r="F610" s="74"/>
      <c r="G610" s="74"/>
      <c r="H610" s="76">
        <f>VLOOKUP($C610,'Unit tariffs'!$B$21:$F$123,5,FALSE)*$B610</f>
        <v>479.6862409925584</v>
      </c>
      <c r="I610" s="76">
        <f>VLOOKUP($C610,'Unit tariffs'!$B$21:$F$123,5,FALSE)*$B610</f>
        <v>479.6862409925584</v>
      </c>
      <c r="J610" s="105"/>
    </row>
    <row r="611" spans="1:11" ht="13" x14ac:dyDescent="0.3">
      <c r="A611" s="91"/>
      <c r="B611" s="74"/>
      <c r="C611" s="74"/>
      <c r="D611" s="74"/>
      <c r="E611" s="74"/>
      <c r="F611" s="74"/>
      <c r="G611" s="74"/>
      <c r="H611" s="137">
        <f>SUM(H609:H610)</f>
        <v>1662.4859628044117</v>
      </c>
      <c r="I611" s="137">
        <f>SUM(I609:I610)</f>
        <v>1662.4859628044117</v>
      </c>
      <c r="J611" s="105"/>
    </row>
    <row r="612" spans="1:11" ht="13" x14ac:dyDescent="0.3">
      <c r="A612" s="91"/>
      <c r="J612" s="105"/>
    </row>
    <row r="613" spans="1:11" ht="13" x14ac:dyDescent="0.3">
      <c r="A613" s="91"/>
      <c r="J613" s="105"/>
    </row>
    <row r="614" spans="1:11" ht="13" x14ac:dyDescent="0.3">
      <c r="A614" s="91"/>
      <c r="B614" s="74"/>
      <c r="C614" s="74"/>
      <c r="D614" s="74"/>
      <c r="E614" s="74"/>
      <c r="F614" s="74"/>
      <c r="G614" s="76"/>
      <c r="H614" s="76">
        <f>+H611+H607+H603+H597</f>
        <v>17038.133071796703</v>
      </c>
      <c r="I614" s="76">
        <f>+I611+I607+I603+I597</f>
        <v>16056.099022565933</v>
      </c>
      <c r="J614" s="105"/>
    </row>
    <row r="615" spans="1:11" ht="13.5" thickBot="1" x14ac:dyDescent="0.35">
      <c r="A615" s="91"/>
      <c r="B615" s="104" t="str">
        <f>'Unit tariffs'!$B$7</f>
        <v>Administration Levy (Indirect Cost)</v>
      </c>
      <c r="C615" s="74"/>
      <c r="D615" s="106">
        <f>'Unit tariffs'!$C$7</f>
        <v>0.1</v>
      </c>
      <c r="E615" s="74" t="s">
        <v>311</v>
      </c>
      <c r="F615" s="186">
        <f>+'Unit tariffs'!$F$7</f>
        <v>10000</v>
      </c>
      <c r="G615" s="76"/>
      <c r="H615" s="108">
        <f>IF(H614*$D615&gt;='Unit tariffs'!$E$7,'Unit tariffs'!$E$7,H614*$D615)</f>
        <v>1703.8133071796703</v>
      </c>
      <c r="I615" s="108">
        <f>IF(I614*$D615&gt;='Unit tariffs'!$E$7,'Unit tariffs'!$E$7,I614*$D615)</f>
        <v>1605.6099022565934</v>
      </c>
      <c r="J615" s="110"/>
    </row>
    <row r="616" spans="1:11" ht="13.5" thickTop="1" x14ac:dyDescent="0.3">
      <c r="A616" s="91"/>
      <c r="B616" s="104" t="s">
        <v>44</v>
      </c>
      <c r="C616" s="74"/>
      <c r="D616" s="74"/>
      <c r="E616" s="74"/>
      <c r="F616" s="74"/>
      <c r="G616" s="76"/>
      <c r="H616" s="109">
        <f>SUM(H614:H615)</f>
        <v>18741.946378976372</v>
      </c>
      <c r="I616" s="109">
        <f>SUM(I614:I615)</f>
        <v>17661.708924822527</v>
      </c>
      <c r="J616" s="105"/>
      <c r="K616" s="111"/>
    </row>
    <row r="617" spans="1:11" ht="13" x14ac:dyDescent="0.3">
      <c r="A617" s="91"/>
      <c r="B617" s="104"/>
      <c r="C617" s="74"/>
      <c r="D617" s="74"/>
      <c r="E617" s="74"/>
      <c r="F617" s="74"/>
      <c r="G617" s="76"/>
      <c r="H617" s="74"/>
      <c r="I617" s="74"/>
      <c r="J617" s="113"/>
    </row>
    <row r="618" spans="1:11" ht="13" x14ac:dyDescent="0.3">
      <c r="A618" s="91"/>
      <c r="B618" s="104" t="s">
        <v>45</v>
      </c>
      <c r="C618" s="74"/>
      <c r="D618" s="74"/>
      <c r="E618" s="74"/>
      <c r="F618" s="74"/>
      <c r="G618" s="84">
        <v>8130</v>
      </c>
      <c r="H618" s="84">
        <f>ROUND(H616,-1)</f>
        <v>18740</v>
      </c>
      <c r="I618" s="84">
        <f>ROUND(I616,-1)</f>
        <v>17660</v>
      </c>
      <c r="J618" s="95"/>
    </row>
    <row r="619" spans="1:11" ht="13" x14ac:dyDescent="0.3">
      <c r="A619" s="74"/>
      <c r="B619" s="74"/>
      <c r="C619" s="74"/>
      <c r="D619" s="74"/>
      <c r="E619" s="74"/>
      <c r="F619" s="74"/>
      <c r="G619" s="74"/>
      <c r="H619" s="76"/>
      <c r="I619" s="76"/>
      <c r="J619" s="74"/>
    </row>
    <row r="620" spans="1:11" ht="13" x14ac:dyDescent="0.3">
      <c r="A620" s="74"/>
      <c r="B620" s="74"/>
      <c r="C620" s="74"/>
      <c r="D620" s="74"/>
      <c r="E620" s="74"/>
      <c r="F620" s="74"/>
      <c r="G620" s="74"/>
      <c r="H620" s="112">
        <f>(+H618-G618)/G618</f>
        <v>1.3050430504305044</v>
      </c>
      <c r="I620" s="112">
        <f>(+I618-H618)/H618</f>
        <v>-5.7630736392742798E-2</v>
      </c>
      <c r="J620" s="74"/>
    </row>
    <row r="621" spans="1:11" ht="13" x14ac:dyDescent="0.3">
      <c r="A621" s="74"/>
      <c r="B621" s="74"/>
      <c r="C621" s="74"/>
      <c r="D621" s="74"/>
      <c r="E621" s="74"/>
      <c r="F621" s="74"/>
      <c r="G621" s="74"/>
      <c r="H621" s="112"/>
      <c r="I621" s="112"/>
      <c r="J621" s="74"/>
    </row>
    <row r="622" spans="1:11" ht="13" thickBot="1" x14ac:dyDescent="0.3">
      <c r="A622" s="717"/>
      <c r="B622" s="717"/>
      <c r="C622" s="717"/>
      <c r="D622" s="717"/>
      <c r="E622" s="717"/>
      <c r="F622" s="717"/>
      <c r="G622" s="717"/>
      <c r="H622" s="717"/>
      <c r="I622" s="717"/>
    </row>
    <row r="623" spans="1:11" ht="13" thickTop="1" x14ac:dyDescent="0.25"/>
    <row r="626" spans="1:9" ht="28.5" customHeight="1" x14ac:dyDescent="0.3">
      <c r="A626" s="91"/>
      <c r="B626" s="92" t="s">
        <v>649</v>
      </c>
      <c r="C626" s="824"/>
      <c r="D626" s="824"/>
      <c r="E626" s="824"/>
      <c r="F626" s="824"/>
      <c r="G626" s="825"/>
      <c r="H626" s="807" t="s">
        <v>665</v>
      </c>
      <c r="I626" s="807" t="s">
        <v>665</v>
      </c>
    </row>
    <row r="627" spans="1:9" ht="13" x14ac:dyDescent="0.3">
      <c r="A627" s="91"/>
      <c r="B627" s="74" t="s">
        <v>1</v>
      </c>
      <c r="C627" s="74"/>
      <c r="D627" s="74"/>
      <c r="E627" s="74"/>
      <c r="F627" s="74"/>
      <c r="G627" s="74"/>
      <c r="H627" s="74"/>
      <c r="I627" s="74"/>
    </row>
    <row r="628" spans="1:9" ht="13" x14ac:dyDescent="0.3">
      <c r="A628" s="91"/>
      <c r="B628" s="74"/>
      <c r="C628" s="74"/>
      <c r="D628" s="74"/>
      <c r="E628" s="74"/>
      <c r="F628" s="74"/>
      <c r="G628" s="74"/>
      <c r="H628" s="128"/>
      <c r="I628" s="128"/>
    </row>
    <row r="629" spans="1:9" ht="13" x14ac:dyDescent="0.3">
      <c r="A629" s="91"/>
      <c r="B629" s="74" t="s">
        <v>1</v>
      </c>
      <c r="C629" s="74"/>
      <c r="D629" s="74"/>
      <c r="E629" s="74"/>
      <c r="F629" s="74"/>
      <c r="G629" s="74"/>
      <c r="H629" s="74"/>
      <c r="I629" s="74"/>
    </row>
    <row r="630" spans="1:9" ht="13" x14ac:dyDescent="0.3">
      <c r="A630" s="91"/>
      <c r="B630" s="74"/>
      <c r="C630" s="74"/>
      <c r="D630" s="74"/>
      <c r="E630" s="74"/>
      <c r="F630" s="74"/>
      <c r="G630" s="74"/>
      <c r="H630" s="103" t="str">
        <f>+'Unit tariffs'!$F$11</f>
        <v>2026/2027</v>
      </c>
      <c r="I630" s="103" t="str">
        <f>+'Unit tariffs'!$F$11</f>
        <v>2026/2027</v>
      </c>
    </row>
    <row r="631" spans="1:9" ht="13" x14ac:dyDescent="0.3">
      <c r="A631" s="91"/>
      <c r="B631" s="104" t="s">
        <v>117</v>
      </c>
      <c r="C631" s="74"/>
      <c r="D631" s="74"/>
      <c r="E631" s="74"/>
      <c r="F631" s="74"/>
      <c r="G631" s="74"/>
      <c r="H631" s="74"/>
      <c r="I631" s="74"/>
    </row>
    <row r="632" spans="1:9" ht="13" x14ac:dyDescent="0.3">
      <c r="A632" s="91"/>
      <c r="B632" s="74" t="s">
        <v>118</v>
      </c>
      <c r="C632" s="74"/>
      <c r="D632" s="74"/>
      <c r="E632" s="74"/>
      <c r="F632" s="74"/>
      <c r="G632" s="74"/>
      <c r="H632" s="74"/>
      <c r="I632" s="74"/>
    </row>
    <row r="633" spans="1:9" ht="13" x14ac:dyDescent="0.3">
      <c r="A633" s="91"/>
      <c r="B633" s="74">
        <v>7.5</v>
      </c>
      <c r="C633" s="74" t="str">
        <f>'Unit tariffs'!B$131</f>
        <v>Primary Backbone - Urban</v>
      </c>
      <c r="D633" s="74"/>
      <c r="E633" s="74"/>
      <c r="F633" s="74" t="str">
        <f>'Unit tariffs'!C$131</f>
        <v>per kVA</v>
      </c>
      <c r="G633" s="74"/>
      <c r="H633" s="76">
        <f>VLOOKUP($C633,'Unit tariffs'!$B$21:$F$155,5,FALSE)*$B633</f>
        <v>10766.233825231502</v>
      </c>
      <c r="I633" s="76">
        <f>VLOOKUP($C633,'Unit tariffs'!$B$21:$F$155,5,FALSE)*$B633</f>
        <v>10766.233825231502</v>
      </c>
    </row>
    <row r="634" spans="1:9" ht="13" x14ac:dyDescent="0.3">
      <c r="A634" s="91"/>
      <c r="B634" s="74">
        <v>7.5</v>
      </c>
      <c r="C634" s="74" t="str">
        <f>'Unit tariffs'!B$133</f>
        <v>Secondary Backbone - LV Urban</v>
      </c>
      <c r="D634" s="74"/>
      <c r="E634" s="74"/>
      <c r="F634" s="74" t="str">
        <f>'Unit tariffs'!C$132</f>
        <v>per kVA</v>
      </c>
      <c r="G634" s="74"/>
      <c r="H634" s="76">
        <f>VLOOKUP($C634,'Unit tariffs'!$B$21:$F$155,5,FALSE)*$B634</f>
        <v>9272.1027980542531</v>
      </c>
      <c r="I634" s="76">
        <f>VLOOKUP($C634,'Unit tariffs'!$B$21:$F$155,5,FALSE)*$B634</f>
        <v>9272.1027980542531</v>
      </c>
    </row>
    <row r="635" spans="1:9" ht="13" x14ac:dyDescent="0.3">
      <c r="A635" s="91"/>
      <c r="B635" s="74">
        <v>7.5</v>
      </c>
      <c r="C635" s="74" t="str">
        <f>'Unit tariffs'!B$134</f>
        <v>LV Backbone -Urban</v>
      </c>
      <c r="D635" s="74"/>
      <c r="E635" s="74"/>
      <c r="F635" s="74" t="str">
        <f>'Unit tariffs'!C$133</f>
        <v>per kVA</v>
      </c>
      <c r="G635" s="74"/>
      <c r="H635" s="81">
        <f>VLOOKUP($C635,'Unit tariffs'!$B$21:$F$155,5,FALSE)*$B635</f>
        <v>3856.9929624765</v>
      </c>
      <c r="I635" s="81">
        <f>VLOOKUP($C635,'Unit tariffs'!$B$21:$F$155,5,FALSE)*$B635</f>
        <v>3856.9929624765</v>
      </c>
    </row>
    <row r="636" spans="1:9" ht="13" x14ac:dyDescent="0.3">
      <c r="A636" s="91"/>
      <c r="B636" s="74"/>
      <c r="C636" s="74"/>
      <c r="D636" s="74"/>
      <c r="E636" s="74"/>
      <c r="F636" s="74"/>
      <c r="G636" s="74"/>
      <c r="H636" s="76">
        <f>SUM(H633:H635)</f>
        <v>23895.329585762254</v>
      </c>
      <c r="I636" s="76">
        <f>SUM(I633:I635)</f>
        <v>23895.329585762254</v>
      </c>
    </row>
    <row r="637" spans="1:9" ht="13" x14ac:dyDescent="0.3">
      <c r="A637" s="91"/>
      <c r="B637" s="74"/>
      <c r="C637" s="74"/>
      <c r="D637" s="74"/>
      <c r="E637" s="74"/>
      <c r="F637" s="74"/>
      <c r="G637" s="74"/>
      <c r="H637" s="76"/>
      <c r="I637" s="76"/>
    </row>
    <row r="638" spans="1:9" ht="13" x14ac:dyDescent="0.3">
      <c r="A638" s="91"/>
      <c r="B638" s="104" t="s">
        <v>41</v>
      </c>
      <c r="C638" s="74"/>
      <c r="D638" s="74"/>
      <c r="E638" s="74"/>
      <c r="F638" s="74"/>
      <c r="G638" s="74"/>
      <c r="H638" s="76"/>
      <c r="I638" s="76"/>
    </row>
    <row r="639" spans="1:9" ht="14.5" x14ac:dyDescent="0.35">
      <c r="A639" s="91"/>
      <c r="B639" s="74">
        <v>1</v>
      </c>
      <c r="C639" s="705" t="str">
        <f>'Unit tariffs'!B46</f>
        <v>METER: TIME OF USE 100 AMP</v>
      </c>
      <c r="D639" s="74"/>
      <c r="E639" s="74"/>
      <c r="F639" s="74"/>
      <c r="G639" s="74"/>
      <c r="H639" s="76">
        <f>VLOOKUP(B639,'Unit tariffs'!A21:E123,5,FALSE)*$B639</f>
        <v>267.25</v>
      </c>
      <c r="I639" s="76">
        <f>VLOOKUP(C639,'Unit tariffs'!B21:F123,5,FALSE)*$B639</f>
        <v>0</v>
      </c>
    </row>
    <row r="640" spans="1:9" ht="13" x14ac:dyDescent="0.3">
      <c r="A640" s="91"/>
      <c r="B640" s="74">
        <v>0</v>
      </c>
      <c r="C640" s="74" t="str">
        <f>+'Unit tariffs'!B47</f>
        <v>Modum for TOU meter</v>
      </c>
      <c r="D640" s="74"/>
      <c r="E640" s="74"/>
      <c r="F640" s="74"/>
      <c r="G640" s="74"/>
      <c r="H640" s="76">
        <f>VLOOKUP($C640,'Unit tariffs'!$B$21:$F$123,5,FALSE)*$B640</f>
        <v>0</v>
      </c>
      <c r="I640" s="76">
        <f>VLOOKUP($C640,'Unit tariffs'!$B$21:$F$123,5,FALSE)*$B640</f>
        <v>0</v>
      </c>
    </row>
    <row r="641" spans="1:9" ht="13" x14ac:dyDescent="0.3">
      <c r="A641" s="91"/>
      <c r="B641" s="74">
        <v>3</v>
      </c>
      <c r="C641" s="74" t="str">
        <f>'Unit tariffs'!B43</f>
        <v>x 80 A circuit breaker (5kA) - Orange</v>
      </c>
      <c r="D641" s="74"/>
      <c r="E641" s="74"/>
      <c r="F641" s="74"/>
      <c r="G641" s="74"/>
      <c r="H641" s="76">
        <f>VLOOKUP($C641,'Unit tariffs'!$B$21:$F$123,5,FALSE)*$B641</f>
        <v>0</v>
      </c>
      <c r="I641" s="76">
        <f>VLOOKUP($C641,'Unit tariffs'!$B$21:$F$123,5,FALSE)*$B641</f>
        <v>0</v>
      </c>
    </row>
    <row r="642" spans="1:9" ht="13" x14ac:dyDescent="0.3">
      <c r="A642" s="91"/>
      <c r="B642" s="74">
        <v>1</v>
      </c>
      <c r="C642" s="74" t="str">
        <f>'Unit tariffs'!B21</f>
        <v>Installation material</v>
      </c>
      <c r="D642" s="74"/>
      <c r="E642" s="74"/>
      <c r="F642" s="74"/>
      <c r="G642" s="74"/>
      <c r="H642" s="81">
        <f>VLOOKUP($C642,'Unit tariffs'!$B$21:$F$123,5,FALSE)*$B642</f>
        <v>282.48325</v>
      </c>
      <c r="I642" s="81">
        <f>VLOOKUP($C642,'Unit tariffs'!$B$21:$F$123,5,FALSE)*$B642</f>
        <v>282.48325</v>
      </c>
    </row>
    <row r="643" spans="1:9" ht="13" x14ac:dyDescent="0.3">
      <c r="A643" s="91"/>
      <c r="B643" s="74"/>
      <c r="C643" s="74"/>
      <c r="D643" s="74"/>
      <c r="E643" s="74"/>
      <c r="F643" s="74"/>
      <c r="G643" s="76"/>
      <c r="H643" s="76">
        <f>SUM(H639:H642)</f>
        <v>549.73325</v>
      </c>
      <c r="I643" s="76">
        <f>SUM(I639:I642)</f>
        <v>282.48325</v>
      </c>
    </row>
    <row r="644" spans="1:9" ht="13" x14ac:dyDescent="0.3">
      <c r="A644" s="91"/>
      <c r="B644" s="74"/>
      <c r="C644" s="74"/>
      <c r="D644" s="74"/>
      <c r="E644" s="74"/>
      <c r="F644" s="74"/>
      <c r="G644" s="76"/>
      <c r="H644" s="76"/>
      <c r="I644" s="76"/>
    </row>
    <row r="645" spans="1:9" ht="13" x14ac:dyDescent="0.3">
      <c r="A645" s="91"/>
      <c r="B645" s="104" t="s">
        <v>42</v>
      </c>
      <c r="C645" s="74"/>
      <c r="D645" s="74"/>
      <c r="E645" s="74"/>
      <c r="F645" s="74"/>
      <c r="G645" s="74"/>
    </row>
    <row r="646" spans="1:9" ht="13" x14ac:dyDescent="0.3">
      <c r="A646" s="91"/>
      <c r="B646" s="74"/>
      <c r="C646" s="74"/>
      <c r="D646" s="74"/>
      <c r="E646" s="74"/>
      <c r="F646" s="74"/>
      <c r="G646" s="74"/>
    </row>
    <row r="647" spans="1:9" ht="13" x14ac:dyDescent="0.3">
      <c r="A647" s="91"/>
      <c r="B647" s="74">
        <v>2</v>
      </c>
      <c r="C647" s="74" t="str">
        <f>'Unit tariffs'!B$87</f>
        <v xml:space="preserve">hour-artisan </v>
      </c>
      <c r="D647" s="74"/>
      <c r="E647" s="74"/>
      <c r="F647" s="74"/>
      <c r="G647" s="74"/>
      <c r="H647" s="76">
        <f>VLOOKUP($C647,'Unit tariffs'!$B$21:$F$123,5,FALSE)*$B647</f>
        <v>702.38553230769242</v>
      </c>
      <c r="I647" s="76">
        <f>VLOOKUP($C647,'Unit tariffs'!$B$21:$F$123,5,FALSE)*$B647</f>
        <v>702.38553230769242</v>
      </c>
    </row>
    <row r="648" spans="1:9" ht="13" x14ac:dyDescent="0.3">
      <c r="A648" s="91"/>
      <c r="B648" s="74">
        <f>+B647*2</f>
        <v>4</v>
      </c>
      <c r="C648" s="74" t="str">
        <f>'Unit tariffs'!B$85</f>
        <v>hour-artisan assistant</v>
      </c>
      <c r="D648" s="74"/>
      <c r="E648" s="74"/>
      <c r="F648" s="74"/>
      <c r="G648" s="74"/>
      <c r="H648" s="81">
        <f>VLOOKUP($C648,'Unit tariffs'!$B$21:$F$123,5,FALSE)*$B648</f>
        <v>559.29703384615391</v>
      </c>
      <c r="I648" s="81">
        <f>VLOOKUP($C648,'Unit tariffs'!$B$21:$F$123,5,FALSE)*$B648</f>
        <v>559.29703384615391</v>
      </c>
    </row>
    <row r="649" spans="1:9" ht="13" x14ac:dyDescent="0.3">
      <c r="A649" s="91"/>
      <c r="B649" s="74"/>
      <c r="C649" s="74"/>
      <c r="D649" s="74"/>
      <c r="E649" s="74"/>
      <c r="F649" s="74"/>
      <c r="G649" s="74"/>
      <c r="H649" s="76">
        <f>SUM(H647:H648)</f>
        <v>1261.6825661538464</v>
      </c>
      <c r="I649" s="76">
        <f>SUM(I647:I648)</f>
        <v>1261.6825661538464</v>
      </c>
    </row>
    <row r="650" spans="1:9" ht="13" x14ac:dyDescent="0.3">
      <c r="A650" s="91"/>
      <c r="B650" s="104" t="s">
        <v>43</v>
      </c>
      <c r="C650" s="74"/>
      <c r="D650" s="74"/>
      <c r="E650" s="74"/>
      <c r="F650" s="74"/>
      <c r="G650" s="74"/>
    </row>
    <row r="651" spans="1:9" ht="13" x14ac:dyDescent="0.3">
      <c r="A651" s="91"/>
      <c r="B651" s="74"/>
      <c r="C651" s="74"/>
      <c r="D651" s="74"/>
      <c r="E651" s="74"/>
      <c r="F651" s="74"/>
      <c r="G651" s="74"/>
    </row>
    <row r="652" spans="1:9" ht="13" x14ac:dyDescent="0.3">
      <c r="A652" s="91"/>
      <c r="B652" s="74">
        <v>24</v>
      </c>
      <c r="C652" s="74" t="str">
        <f>'Unit tariffs'!B$111</f>
        <v>km-truck with platform</v>
      </c>
      <c r="D652" s="74"/>
      <c r="E652" s="74"/>
      <c r="F652" s="74"/>
      <c r="G652" s="74"/>
      <c r="H652" s="76">
        <f>VLOOKUP($C652,'Unit tariffs'!$B$21:$F$123,5,FALSE)*$B652</f>
        <v>1182.7997218118533</v>
      </c>
      <c r="I652" s="76">
        <f>VLOOKUP($C652,'Unit tariffs'!$B$21:$F$123,5,FALSE)*$B652</f>
        <v>1182.7997218118533</v>
      </c>
    </row>
    <row r="653" spans="1:9" ht="13" x14ac:dyDescent="0.3">
      <c r="A653" s="91"/>
      <c r="B653" s="74">
        <v>0.5</v>
      </c>
      <c r="C653" s="74" t="str">
        <f>'Unit tariffs'!B$112</f>
        <v>hour-truck with platform</v>
      </c>
      <c r="D653" s="74"/>
      <c r="E653" s="74"/>
      <c r="F653" s="74"/>
      <c r="G653" s="74"/>
      <c r="H653" s="76">
        <f>VLOOKUP($C653,'Unit tariffs'!$B$21:$F$123,5,FALSE)*$B653</f>
        <v>119.9215602481396</v>
      </c>
      <c r="I653" s="76">
        <f>VLOOKUP($C653,'Unit tariffs'!$B$21:$F$123,5,FALSE)*$B653</f>
        <v>119.9215602481396</v>
      </c>
    </row>
    <row r="654" spans="1:9" ht="13" x14ac:dyDescent="0.3">
      <c r="A654" s="91"/>
      <c r="B654" s="74"/>
      <c r="C654" s="74"/>
      <c r="D654" s="74"/>
      <c r="E654" s="74"/>
      <c r="F654" s="74"/>
      <c r="G654" s="74"/>
      <c r="H654" s="137">
        <f>SUM(H652:H653)</f>
        <v>1302.721282059993</v>
      </c>
      <c r="I654" s="137">
        <f>SUM(I652:I653)</f>
        <v>1302.721282059993</v>
      </c>
    </row>
    <row r="655" spans="1:9" ht="13" x14ac:dyDescent="0.3">
      <c r="A655" s="91"/>
      <c r="B655" s="74"/>
      <c r="C655" s="74"/>
      <c r="D655" s="74"/>
      <c r="E655" s="74"/>
      <c r="F655" s="74"/>
      <c r="G655" s="76"/>
    </row>
    <row r="656" spans="1:9" ht="13" x14ac:dyDescent="0.3">
      <c r="A656" s="91"/>
      <c r="G656" s="76"/>
    </row>
    <row r="657" spans="1:9" ht="13" x14ac:dyDescent="0.3">
      <c r="A657" s="91"/>
      <c r="B657" s="104" t="str">
        <f>'Unit tariffs'!$B$7</f>
        <v>Administration Levy (Indirect Cost)</v>
      </c>
      <c r="C657" s="74"/>
      <c r="D657" s="106">
        <f>'Unit tariffs'!$C$7</f>
        <v>0.1</v>
      </c>
      <c r="E657" s="74" t="s">
        <v>311</v>
      </c>
      <c r="F657" s="186">
        <f>+'Unit tariffs'!$F$7</f>
        <v>10000</v>
      </c>
      <c r="G657" s="76"/>
      <c r="H657" s="76">
        <f>+H654+H649+H643+H636</f>
        <v>27009.466683976094</v>
      </c>
      <c r="I657" s="76">
        <f>+I654+I649+I643+I636</f>
        <v>26742.216683976094</v>
      </c>
    </row>
    <row r="658" spans="1:9" ht="13.5" thickBot="1" x14ac:dyDescent="0.35">
      <c r="A658" s="91"/>
      <c r="B658" s="104" t="s">
        <v>44</v>
      </c>
      <c r="C658" s="74"/>
      <c r="D658" s="74"/>
      <c r="E658" s="74"/>
      <c r="F658" s="74"/>
      <c r="G658" s="76"/>
      <c r="H658" s="108">
        <f>IF(H657*$D657&gt;='Unit tariffs'!$E$7,'Unit tariffs'!$E$7,H657*$D657)</f>
        <v>2700.9466683976098</v>
      </c>
      <c r="I658" s="108">
        <f>IF(I657*$D657&gt;='Unit tariffs'!$E$7,'Unit tariffs'!$E$7,I657*$D657)</f>
        <v>2674.2216683976094</v>
      </c>
    </row>
    <row r="659" spans="1:9" ht="13.5" thickTop="1" x14ac:dyDescent="0.3">
      <c r="A659" s="91"/>
      <c r="B659" s="104"/>
      <c r="C659" s="74"/>
      <c r="D659" s="74"/>
      <c r="E659" s="74"/>
      <c r="F659" s="74"/>
      <c r="G659" s="74"/>
      <c r="H659" s="109">
        <f>SUM(H657:H658)</f>
        <v>29710.413352373704</v>
      </c>
      <c r="I659" s="109">
        <f>SUM(I657:I658)</f>
        <v>29416.438352373705</v>
      </c>
    </row>
    <row r="660" spans="1:9" ht="13" x14ac:dyDescent="0.3">
      <c r="A660" s="91"/>
      <c r="B660" s="104" t="s">
        <v>45</v>
      </c>
      <c r="C660" s="74"/>
      <c r="D660" s="74"/>
      <c r="E660" s="74"/>
      <c r="F660" s="74"/>
      <c r="G660" s="74"/>
      <c r="H660" s="74"/>
      <c r="I660" s="74"/>
    </row>
    <row r="661" spans="1:9" ht="13" x14ac:dyDescent="0.3">
      <c r="A661" s="91"/>
      <c r="B661" s="74"/>
      <c r="C661" s="74"/>
      <c r="D661" s="74"/>
      <c r="E661" s="74"/>
      <c r="F661" s="74"/>
      <c r="G661" s="74"/>
      <c r="H661" s="84">
        <f>ROUND(H659,-1)</f>
        <v>29710</v>
      </c>
      <c r="I661" s="84">
        <f>ROUND(I659,-1)</f>
        <v>29420</v>
      </c>
    </row>
    <row r="662" spans="1:9" ht="13" x14ac:dyDescent="0.3">
      <c r="A662" s="91"/>
      <c r="B662" s="74"/>
      <c r="C662" s="74"/>
      <c r="D662" s="74"/>
      <c r="E662" s="74"/>
      <c r="F662" s="74"/>
      <c r="G662" s="74"/>
      <c r="H662" s="76"/>
      <c r="I662" s="76"/>
    </row>
    <row r="663" spans="1:9" ht="13" x14ac:dyDescent="0.3">
      <c r="A663" s="91"/>
      <c r="B663" s="74"/>
      <c r="C663" s="74"/>
      <c r="D663" s="74"/>
      <c r="E663" s="74"/>
      <c r="F663" s="74"/>
      <c r="G663" s="74"/>
      <c r="H663" s="112" t="e">
        <f>(+H661-G661)/G661</f>
        <v>#DIV/0!</v>
      </c>
      <c r="I663" s="112">
        <f>(+I661-H661)/H661</f>
        <v>-9.7610232245035344E-3</v>
      </c>
    </row>
    <row r="664" spans="1:9" ht="13" x14ac:dyDescent="0.3">
      <c r="A664" s="91"/>
      <c r="B664" s="74"/>
      <c r="C664" s="74"/>
      <c r="D664" s="74"/>
      <c r="E664" s="74"/>
      <c r="F664" s="74"/>
      <c r="G664" s="74"/>
      <c r="H664" s="112"/>
      <c r="I664" s="112"/>
    </row>
    <row r="665" spans="1:9" ht="13.5" thickBot="1" x14ac:dyDescent="0.35">
      <c r="A665" s="448"/>
      <c r="B665" s="123"/>
      <c r="C665" s="123"/>
      <c r="D665" s="123"/>
      <c r="E665" s="123"/>
      <c r="F665" s="123"/>
      <c r="G665" s="123"/>
      <c r="H665" s="123"/>
      <c r="I665" s="123"/>
    </row>
    <row r="666" spans="1:9" ht="13.5" thickTop="1" x14ac:dyDescent="0.3">
      <c r="A666" s="445"/>
      <c r="B666" s="134"/>
      <c r="C666" s="120"/>
      <c r="D666" s="120"/>
      <c r="E666" s="120" t="s">
        <v>1</v>
      </c>
      <c r="F666" s="120"/>
      <c r="G666" s="120"/>
      <c r="H666" s="120"/>
      <c r="I666" s="120"/>
    </row>
    <row r="667" spans="1:9" ht="43" customHeight="1" x14ac:dyDescent="0.3">
      <c r="A667" s="91"/>
      <c r="B667" s="828" t="s">
        <v>648</v>
      </c>
      <c r="C667" s="831"/>
      <c r="D667" s="831"/>
      <c r="E667" s="831"/>
      <c r="F667" s="831"/>
      <c r="G667" s="832"/>
      <c r="H667" s="807" t="s">
        <v>664</v>
      </c>
      <c r="I667" s="807" t="s">
        <v>664</v>
      </c>
    </row>
    <row r="668" spans="1:9" ht="13" x14ac:dyDescent="0.3">
      <c r="A668" s="91"/>
      <c r="B668" s="74" t="s">
        <v>1</v>
      </c>
      <c r="C668" s="74"/>
      <c r="D668" s="74"/>
      <c r="E668" s="74"/>
      <c r="F668" s="74"/>
      <c r="G668" s="74"/>
      <c r="H668" s="74"/>
      <c r="I668" s="74"/>
    </row>
    <row r="669" spans="1:9" ht="13" x14ac:dyDescent="0.3">
      <c r="A669" s="91"/>
      <c r="B669" s="74"/>
      <c r="C669" s="74"/>
      <c r="D669" s="74"/>
      <c r="E669" s="74"/>
      <c r="F669" s="74"/>
      <c r="G669" s="74"/>
      <c r="H669" s="103" t="str">
        <f>+'Unit tariffs'!$F$11</f>
        <v>2026/2027</v>
      </c>
      <c r="I669" s="103" t="str">
        <f>+'Unit tariffs'!$F$11</f>
        <v>2026/2027</v>
      </c>
    </row>
    <row r="670" spans="1:9" ht="13" x14ac:dyDescent="0.3">
      <c r="A670" s="91"/>
      <c r="B670" s="104" t="s">
        <v>117</v>
      </c>
      <c r="C670" s="74"/>
      <c r="D670" s="74"/>
      <c r="E670" s="74"/>
      <c r="F670" s="74"/>
      <c r="G670" s="74"/>
      <c r="H670" s="76"/>
      <c r="I670" s="76"/>
    </row>
    <row r="671" spans="1:9" ht="13" x14ac:dyDescent="0.3">
      <c r="A671" s="91"/>
      <c r="B671" s="74" t="s">
        <v>118</v>
      </c>
      <c r="C671" s="74"/>
      <c r="D671" s="74"/>
      <c r="E671" s="74"/>
      <c r="F671" s="74"/>
      <c r="G671" s="74"/>
    </row>
    <row r="672" spans="1:9" ht="13" x14ac:dyDescent="0.3">
      <c r="A672" s="91"/>
      <c r="B672" s="74">
        <v>7.5</v>
      </c>
      <c r="C672" s="74" t="str">
        <f>'Unit tariffs'!B$133</f>
        <v>Secondary Backbone - LV Urban</v>
      </c>
      <c r="D672" s="74"/>
      <c r="E672" s="74"/>
      <c r="F672" s="74" t="str">
        <f>'Unit tariffs'!C$132</f>
        <v>per kVA</v>
      </c>
      <c r="G672" s="74"/>
      <c r="H672" s="76">
        <f>VLOOKUP($C672,'Unit tariffs'!$B$21:$F$158,5,FALSE)*$B672</f>
        <v>9272.1027980542531</v>
      </c>
      <c r="I672" s="76">
        <f>VLOOKUP($C672,'Unit tariffs'!$B$21:$F$158,5,FALSE)*$B672</f>
        <v>9272.1027980542531</v>
      </c>
    </row>
    <row r="673" spans="1:9" ht="13" x14ac:dyDescent="0.3">
      <c r="A673" s="91"/>
      <c r="B673" s="74">
        <v>7.5</v>
      </c>
      <c r="C673" s="74" t="str">
        <f>'Unit tariffs'!B$134</f>
        <v>LV Backbone -Urban</v>
      </c>
      <c r="D673" s="74"/>
      <c r="E673" s="74"/>
      <c r="F673" s="74" t="str">
        <f>'Unit tariffs'!C$133</f>
        <v>per kVA</v>
      </c>
      <c r="G673" s="74"/>
      <c r="H673" s="81">
        <f>VLOOKUP($C673,'Unit tariffs'!$B$21:$F$158,5,FALSE)*$B673</f>
        <v>3856.9929624765</v>
      </c>
      <c r="I673" s="81">
        <f>VLOOKUP($C673,'Unit tariffs'!$B$21:$F$158,5,FALSE)*$B673</f>
        <v>3856.9929624765</v>
      </c>
    </row>
    <row r="674" spans="1:9" ht="13" x14ac:dyDescent="0.3">
      <c r="A674" s="91"/>
      <c r="B674" s="74"/>
      <c r="C674" s="74"/>
      <c r="D674" s="74"/>
      <c r="E674" s="74"/>
      <c r="F674" s="74"/>
      <c r="G674" s="74"/>
      <c r="H674" s="76">
        <f>SUM(H672:H673)</f>
        <v>13129.095760530752</v>
      </c>
      <c r="I674" s="76">
        <f>SUM(I672:I673)</f>
        <v>13129.095760530752</v>
      </c>
    </row>
    <row r="675" spans="1:9" ht="13" x14ac:dyDescent="0.3">
      <c r="A675" s="91"/>
      <c r="B675" s="104" t="s">
        <v>41</v>
      </c>
      <c r="C675" s="74"/>
      <c r="D675" s="74"/>
      <c r="E675" s="74"/>
      <c r="F675" s="74"/>
      <c r="G675" s="74"/>
      <c r="H675" s="76"/>
      <c r="I675" s="76"/>
    </row>
    <row r="676" spans="1:9" ht="14.5" x14ac:dyDescent="0.35">
      <c r="A676" s="91"/>
      <c r="B676" s="74">
        <v>1</v>
      </c>
      <c r="C676" s="705" t="str">
        <f>'Unit tariffs'!B46</f>
        <v>METER: TIME OF USE 100 AMP</v>
      </c>
      <c r="D676" s="74"/>
      <c r="E676" s="74"/>
      <c r="F676" s="74"/>
      <c r="G676" s="74"/>
      <c r="H676" s="76">
        <f>VLOOKUP($C676,'Unit tariffs'!$B$21:$F$123,5,FALSE)*$B676</f>
        <v>0</v>
      </c>
      <c r="I676" s="76">
        <f>VLOOKUP($C676,'Unit tariffs'!$B$21:$F$123,5,FALSE)*$B676</f>
        <v>0</v>
      </c>
    </row>
    <row r="677" spans="1:9" ht="13" x14ac:dyDescent="0.3">
      <c r="A677" s="91"/>
      <c r="B677" s="74">
        <v>1</v>
      </c>
      <c r="C677" s="74" t="str">
        <f>+'Unit tariffs'!B47</f>
        <v>Modum for TOU meter</v>
      </c>
      <c r="D677" s="74"/>
      <c r="E677" s="74"/>
      <c r="F677" s="74"/>
      <c r="G677" s="74"/>
      <c r="H677" s="76">
        <f>VLOOKUP($C677,'Unit tariffs'!$B$21:$F$123,5,FALSE)*$B677</f>
        <v>338.07595359999993</v>
      </c>
      <c r="I677" s="76">
        <f>VLOOKUP($C677,'Unit tariffs'!$B$21:$F$123,5,FALSE)*$B677</f>
        <v>338.07595359999993</v>
      </c>
    </row>
    <row r="678" spans="1:9" ht="13" x14ac:dyDescent="0.3">
      <c r="A678" s="91"/>
      <c r="B678" s="74">
        <v>3</v>
      </c>
      <c r="C678" s="74" t="str">
        <f>'Unit tariffs'!B43</f>
        <v>x 80 A circuit breaker (5kA) - Orange</v>
      </c>
      <c r="D678" s="74"/>
      <c r="E678" s="74"/>
      <c r="F678" s="74"/>
      <c r="G678" s="74"/>
      <c r="H678" s="76">
        <f>VLOOKUP($C678,'Unit tariffs'!$B$21:$F$123,5,FALSE)*$B678</f>
        <v>0</v>
      </c>
      <c r="I678" s="76">
        <f>VLOOKUP($C678,'Unit tariffs'!$B$21:$F$123,5,FALSE)*$B678</f>
        <v>0</v>
      </c>
    </row>
    <row r="679" spans="1:9" ht="13" x14ac:dyDescent="0.3">
      <c r="A679" s="91"/>
      <c r="B679" s="74">
        <v>1</v>
      </c>
      <c r="C679" s="74" t="str">
        <f>'Unit tariffs'!B21</f>
        <v>Installation material</v>
      </c>
      <c r="D679" s="74"/>
      <c r="E679" s="74"/>
      <c r="F679" s="74"/>
      <c r="G679" s="74"/>
      <c r="H679" s="81">
        <f>VLOOKUP($C679,'Unit tariffs'!$B$21:$F$123,5,FALSE)*$B679</f>
        <v>282.48325</v>
      </c>
      <c r="I679" s="81">
        <f>VLOOKUP($C679,'Unit tariffs'!$B$21:$F$123,5,FALSE)*$B679</f>
        <v>282.48325</v>
      </c>
    </row>
    <row r="680" spans="1:9" ht="13" x14ac:dyDescent="0.3">
      <c r="A680" s="91"/>
      <c r="B680" s="74"/>
      <c r="C680" s="74"/>
      <c r="D680" s="74"/>
      <c r="E680" s="74"/>
      <c r="F680" s="74"/>
      <c r="G680" s="76"/>
      <c r="H680" s="76">
        <f>SUM(H676:H679)</f>
        <v>620.55920359999993</v>
      </c>
      <c r="I680" s="76">
        <f>SUM(I676:I679)</f>
        <v>620.55920359999993</v>
      </c>
    </row>
    <row r="681" spans="1:9" ht="13" x14ac:dyDescent="0.3">
      <c r="A681" s="91"/>
      <c r="B681" s="104" t="s">
        <v>42</v>
      </c>
      <c r="C681" s="74"/>
      <c r="D681" s="74"/>
      <c r="E681" s="74"/>
      <c r="F681" s="74"/>
      <c r="G681" s="74"/>
      <c r="H681" s="74"/>
      <c r="I681" s="74"/>
    </row>
    <row r="682" spans="1:9" ht="13" x14ac:dyDescent="0.3">
      <c r="A682" s="91"/>
      <c r="B682" s="74">
        <v>3</v>
      </c>
      <c r="C682" s="74" t="str">
        <f>'Unit tariffs'!B$87</f>
        <v xml:space="preserve">hour-artisan </v>
      </c>
      <c r="D682" s="74"/>
      <c r="E682" s="74"/>
      <c r="F682" s="74"/>
      <c r="G682" s="74"/>
      <c r="H682" s="76">
        <f>VLOOKUP($C682,'Unit tariffs'!$B$21:$F$123,5,FALSE)*$B682</f>
        <v>1053.5782984615387</v>
      </c>
      <c r="I682" s="76">
        <f>VLOOKUP($C682,'Unit tariffs'!$B$21:$F$123,5,FALSE)*$B682</f>
        <v>1053.5782984615387</v>
      </c>
    </row>
    <row r="683" spans="1:9" ht="13" x14ac:dyDescent="0.3">
      <c r="A683" s="91"/>
      <c r="B683" s="74">
        <f>+B682*1</f>
        <v>3</v>
      </c>
      <c r="C683" s="74" t="str">
        <f>'Unit tariffs'!B$85</f>
        <v>hour-artisan assistant</v>
      </c>
      <c r="D683" s="74"/>
      <c r="E683" s="74"/>
      <c r="F683" s="74"/>
      <c r="G683" s="74"/>
      <c r="H683" s="81">
        <f>VLOOKUP($C683,'Unit tariffs'!$B$21:$F$123,5,FALSE)*$B683</f>
        <v>419.47277538461543</v>
      </c>
      <c r="I683" s="81">
        <f>VLOOKUP($C683,'Unit tariffs'!$B$21:$F$123,5,FALSE)*$B683</f>
        <v>419.47277538461543</v>
      </c>
    </row>
    <row r="684" spans="1:9" ht="13" x14ac:dyDescent="0.3">
      <c r="A684" s="91"/>
      <c r="B684" s="74"/>
      <c r="C684" s="74"/>
      <c r="D684" s="74"/>
      <c r="E684" s="74"/>
      <c r="F684" s="74"/>
      <c r="G684" s="74"/>
      <c r="H684" s="76">
        <f>SUM(H682:I683)</f>
        <v>2946.1021476923083</v>
      </c>
      <c r="I684" s="76">
        <f>SUM(I682:J683)</f>
        <v>1473.0510738461542</v>
      </c>
    </row>
    <row r="685" spans="1:9" ht="13" x14ac:dyDescent="0.3">
      <c r="A685" s="91"/>
      <c r="B685" s="104" t="s">
        <v>43</v>
      </c>
      <c r="C685" s="74"/>
      <c r="D685" s="74"/>
      <c r="E685" s="74"/>
      <c r="F685" s="74"/>
      <c r="G685" s="74"/>
      <c r="H685" s="74"/>
      <c r="I685" s="74"/>
    </row>
    <row r="686" spans="1:9" ht="13" x14ac:dyDescent="0.3">
      <c r="A686" s="91"/>
      <c r="B686" s="74">
        <v>24</v>
      </c>
      <c r="C686" s="74" t="str">
        <f>'Unit tariffs'!B$111</f>
        <v>km-truck with platform</v>
      </c>
      <c r="D686" s="74"/>
      <c r="E686" s="74"/>
      <c r="F686" s="74"/>
      <c r="G686" s="74"/>
      <c r="H686" s="76">
        <f>VLOOKUP($C686,'Unit tariffs'!$B$21:$F$123,5,FALSE)*$B686</f>
        <v>1182.7997218118533</v>
      </c>
      <c r="I686" s="76">
        <f>VLOOKUP($C686,'Unit tariffs'!$B$21:$F$123,5,FALSE)*$B686</f>
        <v>1182.7997218118533</v>
      </c>
    </row>
    <row r="687" spans="1:9" ht="13" x14ac:dyDescent="0.3">
      <c r="A687" s="91"/>
      <c r="B687" s="74">
        <f>+B682</f>
        <v>3</v>
      </c>
      <c r="C687" s="74" t="str">
        <f>'Unit tariffs'!B$112</f>
        <v>hour-truck with platform</v>
      </c>
      <c r="D687" s="74"/>
      <c r="E687" s="74"/>
      <c r="F687" s="74"/>
      <c r="G687" s="74"/>
      <c r="H687" s="76">
        <f>VLOOKUP($C687,'Unit tariffs'!$B$21:$F$123,5,FALSE)*$B687</f>
        <v>719.52936148883759</v>
      </c>
      <c r="I687" s="76">
        <f>VLOOKUP($C687,'Unit tariffs'!$B$21:$F$123,5,FALSE)*$B687</f>
        <v>719.52936148883759</v>
      </c>
    </row>
    <row r="688" spans="1:9" ht="13" x14ac:dyDescent="0.3">
      <c r="A688" s="91"/>
      <c r="B688" s="74"/>
      <c r="C688" s="74"/>
      <c r="D688" s="74"/>
      <c r="E688" s="74"/>
      <c r="F688" s="74"/>
      <c r="G688" s="74"/>
      <c r="H688" s="137">
        <f>SUM(H686:H687)</f>
        <v>1902.3290833006909</v>
      </c>
      <c r="I688" s="137">
        <f>SUM(I686:I687)</f>
        <v>1902.3290833006909</v>
      </c>
    </row>
    <row r="689" spans="1:9" ht="13" x14ac:dyDescent="0.3">
      <c r="A689" s="91"/>
    </row>
    <row r="690" spans="1:9" ht="13" x14ac:dyDescent="0.3">
      <c r="A690" s="91"/>
    </row>
    <row r="691" spans="1:9" ht="13" x14ac:dyDescent="0.3">
      <c r="A691" s="91"/>
      <c r="B691" s="74"/>
      <c r="C691" s="74"/>
      <c r="D691" s="74"/>
      <c r="E691" s="74"/>
      <c r="F691" s="74"/>
      <c r="G691" s="76"/>
      <c r="H691" s="76">
        <f>+H688+H684+H680+H674</f>
        <v>18598.086195123753</v>
      </c>
      <c r="I691" s="76">
        <f>+I688+I684+I680+I674</f>
        <v>17125.035121277597</v>
      </c>
    </row>
    <row r="692" spans="1:9" ht="13.5" thickBot="1" x14ac:dyDescent="0.35">
      <c r="A692" s="91"/>
      <c r="B692" s="104" t="str">
        <f>'Unit tariffs'!$B$7</f>
        <v>Administration Levy (Indirect Cost)</v>
      </c>
      <c r="C692" s="74"/>
      <c r="D692" s="106">
        <f>'Unit tariffs'!$C$7</f>
        <v>0.1</v>
      </c>
      <c r="E692" s="74" t="s">
        <v>311</v>
      </c>
      <c r="F692" s="186">
        <f>+'Unit tariffs'!$F$7</f>
        <v>10000</v>
      </c>
      <c r="G692" s="76"/>
      <c r="H692" s="108">
        <f>IF(H691*$D692&gt;='Unit tariffs'!$E$7,'Unit tariffs'!$E$7,H691*$D692)</f>
        <v>1859.8086195123753</v>
      </c>
      <c r="I692" s="108">
        <f>IF(I691*$D692&gt;='Unit tariffs'!$E$7,'Unit tariffs'!$E$7,I691*$D692)</f>
        <v>1712.5035121277597</v>
      </c>
    </row>
    <row r="693" spans="1:9" ht="13.5" thickTop="1" x14ac:dyDescent="0.3">
      <c r="A693" s="91"/>
      <c r="B693" s="104" t="s">
        <v>44</v>
      </c>
      <c r="C693" s="74"/>
      <c r="D693" s="74"/>
      <c r="E693" s="74"/>
      <c r="F693" s="74"/>
      <c r="G693" s="76"/>
      <c r="H693" s="109">
        <f>SUM(H691:H692)</f>
        <v>20457.894814636129</v>
      </c>
      <c r="I693" s="109">
        <f>SUM(I691:I692)</f>
        <v>18837.538633405355</v>
      </c>
    </row>
    <row r="694" spans="1:9" ht="13" x14ac:dyDescent="0.3">
      <c r="A694" s="91"/>
      <c r="B694" s="104"/>
      <c r="C694" s="74"/>
      <c r="D694" s="74"/>
      <c r="E694" s="74"/>
      <c r="F694" s="74"/>
      <c r="G694" s="76"/>
      <c r="H694" s="74"/>
      <c r="I694" s="74"/>
    </row>
    <row r="695" spans="1:9" ht="13" x14ac:dyDescent="0.3">
      <c r="A695" s="91"/>
      <c r="B695" s="104" t="s">
        <v>45</v>
      </c>
      <c r="C695" s="74"/>
      <c r="D695" s="74"/>
      <c r="E695" s="74"/>
      <c r="F695" s="74"/>
      <c r="G695" s="84">
        <v>8130</v>
      </c>
      <c r="H695" s="84">
        <f>ROUND(H693,-1)</f>
        <v>20460</v>
      </c>
      <c r="I695" s="84">
        <f>ROUND(I693,-1)</f>
        <v>18840</v>
      </c>
    </row>
    <row r="696" spans="1:9" ht="13" x14ac:dyDescent="0.3">
      <c r="B696" s="74"/>
      <c r="C696" s="74"/>
      <c r="D696" s="74"/>
      <c r="E696" s="74"/>
      <c r="F696" s="74"/>
      <c r="G696" s="74"/>
      <c r="H696" s="76"/>
      <c r="I696" s="76"/>
    </row>
    <row r="697" spans="1:9" ht="13" x14ac:dyDescent="0.3">
      <c r="B697" s="74"/>
      <c r="C697" s="74"/>
      <c r="D697" s="74"/>
      <c r="E697" s="74"/>
      <c r="F697" s="74"/>
      <c r="G697" s="74"/>
      <c r="H697" s="112">
        <f>(+H695-G695)/G695</f>
        <v>1.5166051660516606</v>
      </c>
      <c r="I697" s="112">
        <f>(+I695-H695)/H695</f>
        <v>-7.9178885630498533E-2</v>
      </c>
    </row>
    <row r="698" spans="1:9" ht="13" thickBot="1" x14ac:dyDescent="0.3">
      <c r="A698" s="717"/>
      <c r="B698" s="717"/>
      <c r="C698" s="717"/>
      <c r="D698" s="717"/>
      <c r="E698" s="717"/>
      <c r="F698" s="717"/>
      <c r="G698" s="717"/>
      <c r="H698" s="717"/>
      <c r="I698" s="717"/>
    </row>
    <row r="699" spans="1:9" ht="13" thickTop="1" x14ac:dyDescent="0.25"/>
    <row r="700" spans="1:9" ht="29.5" customHeight="1" x14ac:dyDescent="0.3">
      <c r="A700" s="91"/>
      <c r="B700" s="976" t="s">
        <v>644</v>
      </c>
      <c r="C700" s="977"/>
      <c r="D700" s="977"/>
      <c r="E700" s="977"/>
      <c r="F700" s="977"/>
      <c r="G700" s="978"/>
      <c r="H700" s="807" t="s">
        <v>646</v>
      </c>
      <c r="I700" s="807" t="s">
        <v>646</v>
      </c>
    </row>
    <row r="701" spans="1:9" ht="13" x14ac:dyDescent="0.3">
      <c r="A701" s="91"/>
      <c r="B701" s="74" t="s">
        <v>1</v>
      </c>
      <c r="C701" s="74"/>
      <c r="D701" s="74"/>
      <c r="E701" s="74"/>
      <c r="F701" s="74"/>
      <c r="G701" s="74"/>
      <c r="H701" s="74"/>
      <c r="I701" s="74"/>
    </row>
    <row r="702" spans="1:9" ht="13" x14ac:dyDescent="0.3">
      <c r="A702" s="91"/>
      <c r="B702" s="74" t="s">
        <v>1</v>
      </c>
      <c r="C702" s="74"/>
      <c r="D702" s="74"/>
      <c r="E702" s="74"/>
      <c r="F702" s="74"/>
      <c r="G702" s="74"/>
      <c r="H702" s="103" t="str">
        <f>+'Unit tariffs'!$F$11</f>
        <v>2026/2027</v>
      </c>
      <c r="I702" s="103" t="str">
        <f>+'Unit tariffs'!$F$11</f>
        <v>2026/2027</v>
      </c>
    </row>
    <row r="703" spans="1:9" ht="13" x14ac:dyDescent="0.3">
      <c r="A703" s="91"/>
      <c r="B703" s="74"/>
      <c r="C703" s="74"/>
      <c r="D703" s="74"/>
      <c r="E703" s="74"/>
      <c r="F703" s="74"/>
      <c r="G703" s="74"/>
      <c r="H703" s="127"/>
      <c r="I703" s="127"/>
    </row>
    <row r="704" spans="1:9" ht="13" x14ac:dyDescent="0.3">
      <c r="A704" s="91"/>
      <c r="B704" s="74"/>
      <c r="C704" s="74"/>
      <c r="D704" s="74"/>
      <c r="E704" s="74"/>
      <c r="F704" s="74"/>
      <c r="G704" s="74"/>
    </row>
    <row r="705" spans="1:9" ht="13" x14ac:dyDescent="0.3">
      <c r="A705" s="91"/>
      <c r="B705" s="104" t="s">
        <v>117</v>
      </c>
      <c r="C705" s="74"/>
      <c r="D705" s="74"/>
      <c r="E705" s="74"/>
      <c r="F705" s="74"/>
      <c r="G705" s="74"/>
    </row>
    <row r="706" spans="1:9" ht="13" x14ac:dyDescent="0.3">
      <c r="A706" s="91"/>
      <c r="B706" s="104"/>
      <c r="C706" s="74"/>
      <c r="D706" s="74"/>
      <c r="E706" s="74"/>
      <c r="F706" s="74"/>
      <c r="G706" s="74"/>
      <c r="H706" s="128"/>
      <c r="I706" s="128"/>
    </row>
    <row r="707" spans="1:9" ht="13" x14ac:dyDescent="0.3">
      <c r="A707" s="91"/>
      <c r="B707" s="74">
        <v>7.5</v>
      </c>
      <c r="C707" s="74" t="str">
        <f>'Unit tariffs'!B131</f>
        <v>Primary Backbone - Urban</v>
      </c>
      <c r="D707" s="74"/>
      <c r="E707" s="74"/>
      <c r="F707" s="74" t="str">
        <f>'Unit tariffs'!C$132</f>
        <v>per kVA</v>
      </c>
      <c r="G707" s="74"/>
      <c r="H707" s="76">
        <f>VLOOKUP($C707,'Unit tariffs'!$B$21:$F$158,5,FALSE)*$B707</f>
        <v>10766.233825231502</v>
      </c>
      <c r="I707" s="76">
        <f>VLOOKUP($C707,'Unit tariffs'!$B$21:$F$158,5,FALSE)*$B707</f>
        <v>10766.233825231502</v>
      </c>
    </row>
    <row r="708" spans="1:9" ht="13" x14ac:dyDescent="0.3">
      <c r="A708" s="91"/>
      <c r="B708" s="74">
        <v>7.5</v>
      </c>
      <c r="C708" s="74" t="str">
        <f>'Unit tariffs'!B$133</f>
        <v>Secondary Backbone - LV Urban</v>
      </c>
      <c r="D708" s="74"/>
      <c r="E708" s="74"/>
      <c r="F708" s="74" t="str">
        <f>'Unit tariffs'!C$132</f>
        <v>per kVA</v>
      </c>
      <c r="G708" s="74"/>
      <c r="H708" s="76">
        <f>VLOOKUP($C708,'Unit tariffs'!$B$21:$F$158,5,FALSE)*$B708</f>
        <v>9272.1027980542531</v>
      </c>
      <c r="I708" s="76">
        <f>VLOOKUP($C708,'Unit tariffs'!$B$21:$F$158,5,FALSE)*$B708</f>
        <v>9272.1027980542531</v>
      </c>
    </row>
    <row r="709" spans="1:9" ht="13" x14ac:dyDescent="0.3">
      <c r="A709" s="91"/>
      <c r="B709" s="74">
        <v>7.5</v>
      </c>
      <c r="C709" s="74" t="str">
        <f>'Unit tariffs'!B$134</f>
        <v>LV Backbone -Urban</v>
      </c>
      <c r="D709" s="74"/>
      <c r="E709" s="74"/>
      <c r="F709" s="74" t="str">
        <f>'Unit tariffs'!C$133</f>
        <v>per kVA</v>
      </c>
      <c r="G709" s="74"/>
      <c r="H709" s="81">
        <f>VLOOKUP($C709,'Unit tariffs'!$B$21:$F$158,5,FALSE)*$B709</f>
        <v>3856.9929624765</v>
      </c>
      <c r="I709" s="81">
        <f>VLOOKUP($C709,'Unit tariffs'!$B$21:$F$158,5,FALSE)*$B709</f>
        <v>3856.9929624765</v>
      </c>
    </row>
    <row r="710" spans="1:9" ht="13" x14ac:dyDescent="0.3">
      <c r="A710" s="91"/>
      <c r="B710" s="74"/>
      <c r="C710" s="74"/>
      <c r="D710" s="74"/>
      <c r="E710" s="74"/>
      <c r="F710" s="74"/>
      <c r="G710" s="74"/>
      <c r="H710" s="76">
        <f>SUM(H707:H709)</f>
        <v>23895.329585762254</v>
      </c>
      <c r="I710" s="76">
        <f>SUM(I707:I709)</f>
        <v>23895.329585762254</v>
      </c>
    </row>
    <row r="711" spans="1:9" ht="13" x14ac:dyDescent="0.3">
      <c r="A711" s="91"/>
      <c r="B711" s="74"/>
      <c r="C711" s="74"/>
      <c r="D711" s="74"/>
      <c r="E711" s="74"/>
      <c r="F711" s="74"/>
      <c r="G711" s="74"/>
      <c r="H711" s="76"/>
      <c r="I711" s="76"/>
    </row>
    <row r="712" spans="1:9" ht="13" x14ac:dyDescent="0.3">
      <c r="A712" s="91"/>
      <c r="B712" s="104" t="s">
        <v>41</v>
      </c>
      <c r="C712" s="74"/>
      <c r="D712" s="74"/>
      <c r="E712" s="74"/>
      <c r="F712" s="74"/>
      <c r="G712" s="74"/>
      <c r="H712" s="74"/>
      <c r="I712" s="74"/>
    </row>
    <row r="713" spans="1:9" ht="13" x14ac:dyDescent="0.3">
      <c r="A713" s="91"/>
      <c r="B713" s="74"/>
      <c r="C713" s="74"/>
      <c r="D713" s="74"/>
      <c r="E713" s="74"/>
      <c r="F713" s="74"/>
      <c r="G713" s="74"/>
    </row>
    <row r="714" spans="1:9" ht="13" x14ac:dyDescent="0.3">
      <c r="A714" s="91"/>
      <c r="B714" s="74">
        <v>1</v>
      </c>
      <c r="C714" s="347" t="str">
        <f>'Unit tariffs'!B36</f>
        <v xml:space="preserve">Prepaid meter (Split) 3 phase - </v>
      </c>
      <c r="D714" s="74"/>
      <c r="E714" s="74"/>
      <c r="F714" s="74"/>
      <c r="G714" s="74"/>
      <c r="H714" s="189">
        <f>VLOOKUP($C714,'Unit tariffs'!$B$21:$F$123,5,FALSE)*$B714</f>
        <v>0</v>
      </c>
      <c r="I714" s="189">
        <f>VLOOKUP($C714,'Unit tariffs'!$B$21:$F$123,5,FALSE)*$B714</f>
        <v>0</v>
      </c>
    </row>
    <row r="715" spans="1:9" ht="13" x14ac:dyDescent="0.3">
      <c r="A715" s="91"/>
      <c r="B715" s="74">
        <v>3</v>
      </c>
      <c r="C715" s="74" t="str">
        <f>'Unit tariffs'!B43</f>
        <v>x 80 A circuit breaker (5kA) - Orange</v>
      </c>
      <c r="D715" s="74"/>
      <c r="E715" s="74"/>
      <c r="F715" s="74"/>
      <c r="G715" s="74"/>
      <c r="H715" s="76">
        <f>VLOOKUP($C715,'Unit tariffs'!$B$21:$F$123,5,FALSE)*$B715</f>
        <v>0</v>
      </c>
      <c r="I715" s="76">
        <f>VLOOKUP($C715,'Unit tariffs'!$B$21:$F$123,5,FALSE)*$B715</f>
        <v>0</v>
      </c>
    </row>
    <row r="716" spans="1:9" ht="13" x14ac:dyDescent="0.3">
      <c r="A716" s="91"/>
      <c r="B716" s="74">
        <v>1</v>
      </c>
      <c r="C716" s="74" t="str">
        <f>'Unit tariffs'!B72</f>
        <v>Cable clamp (Clampex) - K26</v>
      </c>
      <c r="D716" s="74"/>
      <c r="E716" s="74"/>
      <c r="F716" s="74"/>
      <c r="G716" s="74"/>
      <c r="H716" s="76">
        <f>VLOOKUP($C716,'Unit tariffs'!$B$21:$F$123,5,FALSE)*$B716</f>
        <v>1423.2410081400001</v>
      </c>
      <c r="I716" s="76">
        <f>VLOOKUP($C716,'Unit tariffs'!$B$21:$F$123,5,FALSE)*$B716</f>
        <v>1423.2410081400001</v>
      </c>
    </row>
    <row r="717" spans="1:9" ht="13" x14ac:dyDescent="0.3">
      <c r="A717" s="91"/>
      <c r="B717" s="74">
        <v>1</v>
      </c>
      <c r="C717" s="74" t="str">
        <f>'Unit tariffs'!B21</f>
        <v>Installation material</v>
      </c>
      <c r="D717" s="74"/>
      <c r="E717" s="74"/>
      <c r="F717" s="74"/>
      <c r="G717" s="74"/>
      <c r="H717" s="81">
        <f>VLOOKUP($C717,'Unit tariffs'!$B$21:$F$123,5,FALSE)*$B717</f>
        <v>282.48325</v>
      </c>
      <c r="I717" s="81">
        <f>VLOOKUP($C717,'Unit tariffs'!$B$21:$F$123,5,FALSE)*$B717</f>
        <v>282.48325</v>
      </c>
    </row>
    <row r="718" spans="1:9" ht="13" x14ac:dyDescent="0.3">
      <c r="A718" s="91"/>
      <c r="B718" s="74"/>
      <c r="C718" s="74"/>
      <c r="D718" s="74"/>
      <c r="E718" s="74"/>
      <c r="F718" s="74"/>
      <c r="G718" s="74"/>
      <c r="H718" s="76">
        <f>SUM(H714:H717)</f>
        <v>1705.7242581400001</v>
      </c>
      <c r="I718" s="76">
        <f>SUM(I714:I717)</f>
        <v>1705.7242581400001</v>
      </c>
    </row>
    <row r="719" spans="1:9" ht="13" x14ac:dyDescent="0.3">
      <c r="A719" s="91"/>
      <c r="B719" s="104" t="s">
        <v>42</v>
      </c>
      <c r="C719" s="74"/>
      <c r="D719" s="74"/>
      <c r="E719" s="74"/>
      <c r="F719" s="74"/>
      <c r="G719" s="74"/>
      <c r="H719" s="74"/>
      <c r="I719" s="74"/>
    </row>
    <row r="720" spans="1:9" ht="13" x14ac:dyDescent="0.3">
      <c r="A720" s="91"/>
      <c r="B720" s="74"/>
      <c r="C720" s="74"/>
      <c r="D720" s="74"/>
      <c r="E720" s="74"/>
      <c r="F720" s="74"/>
      <c r="G720" s="74"/>
    </row>
    <row r="721" spans="1:9" ht="13" x14ac:dyDescent="0.3">
      <c r="A721" s="91"/>
      <c r="B721" s="74">
        <v>1</v>
      </c>
      <c r="C721" s="74" t="str">
        <f>'Unit tariffs'!B$87</f>
        <v xml:space="preserve">hour-artisan </v>
      </c>
      <c r="D721" s="74"/>
      <c r="E721" s="74"/>
      <c r="F721" s="74"/>
      <c r="G721" s="74"/>
      <c r="H721" s="76">
        <f>VLOOKUP($C721,'Unit tariffs'!$B$21:$F$123,5,FALSE)*$B721</f>
        <v>351.19276615384621</v>
      </c>
      <c r="I721" s="76">
        <f>VLOOKUP($C721,'Unit tariffs'!$B$21:$F$123,5,FALSE)*$B721</f>
        <v>351.19276615384621</v>
      </c>
    </row>
    <row r="722" spans="1:9" ht="13" x14ac:dyDescent="0.3">
      <c r="A722" s="91"/>
      <c r="B722" s="74">
        <v>1</v>
      </c>
      <c r="C722" s="74" t="str">
        <f>'Unit tariffs'!B$85</f>
        <v>hour-artisan assistant</v>
      </c>
      <c r="D722" s="74"/>
      <c r="E722" s="74"/>
      <c r="F722" s="74"/>
      <c r="G722" s="74"/>
      <c r="H722" s="81">
        <f>VLOOKUP($C722,'Unit tariffs'!$B$21:$F$123,5,FALSE)*$B722</f>
        <v>139.82425846153848</v>
      </c>
      <c r="I722" s="81">
        <f>VLOOKUP($C722,'Unit tariffs'!$B$21:$F$123,5,FALSE)*$B722</f>
        <v>139.82425846153848</v>
      </c>
    </row>
    <row r="723" spans="1:9" ht="13" x14ac:dyDescent="0.3">
      <c r="A723" s="91"/>
      <c r="B723" s="74"/>
      <c r="C723" s="74"/>
      <c r="D723" s="74"/>
      <c r="E723" s="74"/>
      <c r="F723" s="74"/>
      <c r="G723" s="74"/>
      <c r="H723" s="76">
        <f>SUM(H721:H722)</f>
        <v>491.01702461538468</v>
      </c>
      <c r="I723" s="76">
        <f>SUM(I721:I722)</f>
        <v>491.01702461538468</v>
      </c>
    </row>
    <row r="724" spans="1:9" ht="13" x14ac:dyDescent="0.3">
      <c r="A724" s="91"/>
      <c r="B724" s="104" t="s">
        <v>43</v>
      </c>
      <c r="C724" s="74"/>
      <c r="D724" s="74"/>
      <c r="E724" s="74"/>
      <c r="F724" s="74"/>
      <c r="G724" s="74"/>
      <c r="H724" s="74"/>
      <c r="I724" s="74"/>
    </row>
    <row r="725" spans="1:9" ht="13" x14ac:dyDescent="0.3">
      <c r="A725" s="91"/>
      <c r="B725" s="74"/>
      <c r="C725" s="74"/>
      <c r="D725" s="74"/>
      <c r="E725" s="74"/>
      <c r="F725" s="74"/>
      <c r="G725" s="74"/>
      <c r="H725" s="74"/>
      <c r="I725" s="74"/>
    </row>
    <row r="726" spans="1:9" ht="13" x14ac:dyDescent="0.3">
      <c r="A726" s="91"/>
      <c r="B726" s="74">
        <v>24</v>
      </c>
      <c r="C726" s="74" t="str">
        <f>'Unit tariffs'!B$111</f>
        <v>km-truck with platform</v>
      </c>
      <c r="D726" s="74"/>
      <c r="E726" s="74"/>
      <c r="F726" s="74"/>
      <c r="G726" s="74"/>
      <c r="H726" s="76">
        <f>VLOOKUP($C726,'Unit tariffs'!$B$21:$F$123,5,FALSE)*$B726</f>
        <v>1182.7997218118533</v>
      </c>
      <c r="I726" s="76">
        <f>VLOOKUP($C726,'Unit tariffs'!$B$21:$F$123,5,FALSE)*$B726</f>
        <v>1182.7997218118533</v>
      </c>
    </row>
    <row r="727" spans="1:9" ht="13" x14ac:dyDescent="0.3">
      <c r="A727" s="91"/>
      <c r="B727" s="74">
        <v>1</v>
      </c>
      <c r="C727" s="74" t="str">
        <f>'Unit tariffs'!B$112</f>
        <v>hour-truck with platform</v>
      </c>
      <c r="D727" s="74"/>
      <c r="E727" s="74"/>
      <c r="F727" s="74"/>
      <c r="G727" s="74"/>
      <c r="H727" s="76">
        <f>VLOOKUP($C727,'Unit tariffs'!$B$21:$F$123,5,FALSE)*$B727</f>
        <v>239.8431204962792</v>
      </c>
      <c r="I727" s="76">
        <f>VLOOKUP($C727,'Unit tariffs'!$B$21:$F$123,5,FALSE)*$B727</f>
        <v>239.8431204962792</v>
      </c>
    </row>
    <row r="728" spans="1:9" ht="13" x14ac:dyDescent="0.3">
      <c r="A728" s="91"/>
      <c r="B728" s="74"/>
      <c r="C728" s="74"/>
      <c r="D728" s="74"/>
      <c r="E728" s="74"/>
      <c r="F728" s="74"/>
      <c r="G728" s="74"/>
      <c r="H728" s="137">
        <f>SUM(H726:H727)</f>
        <v>1422.6428423081325</v>
      </c>
      <c r="I728" s="137">
        <f>SUM(I726:I727)</f>
        <v>1422.6428423081325</v>
      </c>
    </row>
    <row r="729" spans="1:9" ht="13" x14ac:dyDescent="0.3">
      <c r="A729" s="91"/>
    </row>
    <row r="730" spans="1:9" ht="13" x14ac:dyDescent="0.3">
      <c r="A730" s="91"/>
    </row>
    <row r="731" spans="1:9" ht="13" x14ac:dyDescent="0.3">
      <c r="A731" s="91"/>
      <c r="B731" s="74"/>
      <c r="C731" s="74"/>
      <c r="D731" s="74"/>
      <c r="E731" s="74"/>
      <c r="F731" s="74"/>
      <c r="G731" s="74"/>
      <c r="H731" s="76">
        <f>+H728+H723+H718+H710</f>
        <v>27514.71371082577</v>
      </c>
      <c r="I731" s="76">
        <f>+I728+I723+I718+I710</f>
        <v>27514.71371082577</v>
      </c>
    </row>
    <row r="732" spans="1:9" ht="13.5" thickBot="1" x14ac:dyDescent="0.35">
      <c r="A732" s="91"/>
      <c r="B732" s="104" t="str">
        <f>'Unit tariffs'!$B$7</f>
        <v>Administration Levy (Indirect Cost)</v>
      </c>
      <c r="C732" s="74"/>
      <c r="D732" s="106">
        <f>'Unit tariffs'!$C$7</f>
        <v>0.1</v>
      </c>
      <c r="E732" s="74" t="s">
        <v>311</v>
      </c>
      <c r="F732" s="186">
        <f>+'Unit tariffs'!$F$7</f>
        <v>10000</v>
      </c>
      <c r="G732" s="74"/>
      <c r="H732" s="108">
        <f>IF(H731*$D732&gt;='Unit tariffs'!$E$7,'Unit tariffs'!$E$7,H731*$D732)</f>
        <v>2751.4713710825772</v>
      </c>
      <c r="I732" s="108">
        <f>IF(I731*$D732&gt;='Unit tariffs'!$E$7,'Unit tariffs'!$E$7,I731*$D732)</f>
        <v>2751.4713710825772</v>
      </c>
    </row>
    <row r="733" spans="1:9" ht="13.5" thickTop="1" x14ac:dyDescent="0.3">
      <c r="A733" s="91"/>
      <c r="B733" s="104" t="s">
        <v>44</v>
      </c>
      <c r="C733" s="74"/>
      <c r="D733" s="74"/>
      <c r="E733" s="74"/>
      <c r="F733" s="74"/>
      <c r="G733" s="74"/>
      <c r="H733" s="109">
        <f>SUM(H731:H732)</f>
        <v>30266.185081908348</v>
      </c>
      <c r="I733" s="109">
        <f>SUM(I731:I732)</f>
        <v>30266.185081908348</v>
      </c>
    </row>
    <row r="734" spans="1:9" ht="13" x14ac:dyDescent="0.3">
      <c r="A734" s="91"/>
      <c r="B734" s="74"/>
      <c r="C734" s="74"/>
      <c r="D734" s="74"/>
      <c r="E734" s="74"/>
      <c r="F734" s="74"/>
      <c r="G734" s="74"/>
      <c r="H734" s="74"/>
      <c r="I734" s="74"/>
    </row>
    <row r="735" spans="1:9" ht="13" x14ac:dyDescent="0.3">
      <c r="A735" s="91"/>
      <c r="B735" s="104" t="s">
        <v>45</v>
      </c>
      <c r="C735" s="74"/>
      <c r="D735" s="74"/>
      <c r="E735" s="74"/>
      <c r="F735" s="74"/>
      <c r="G735" s="74"/>
      <c r="H735" s="84">
        <f>ROUND(H733,-1)</f>
        <v>30270</v>
      </c>
      <c r="I735" s="84">
        <f>ROUND(I733,-1)</f>
        <v>30270</v>
      </c>
    </row>
    <row r="736" spans="1:9" ht="13" x14ac:dyDescent="0.3">
      <c r="A736" s="91"/>
      <c r="B736" s="74"/>
      <c r="C736" s="74"/>
      <c r="D736" s="74"/>
      <c r="E736" s="74"/>
      <c r="F736" s="74"/>
      <c r="G736" s="74"/>
      <c r="H736" s="76"/>
      <c r="I736" s="76"/>
    </row>
    <row r="737" spans="1:9" ht="13" x14ac:dyDescent="0.3">
      <c r="A737" s="91"/>
      <c r="B737" s="74"/>
      <c r="C737" s="74"/>
      <c r="D737" s="74"/>
      <c r="E737" s="74"/>
      <c r="F737" s="74"/>
      <c r="G737" s="74"/>
      <c r="H737" s="76"/>
      <c r="I737" s="76"/>
    </row>
    <row r="738" spans="1:9" ht="13" x14ac:dyDescent="0.3">
      <c r="A738" s="91"/>
      <c r="B738" s="74"/>
      <c r="C738" s="74"/>
      <c r="D738" s="74"/>
      <c r="E738" s="74"/>
      <c r="F738" s="74"/>
      <c r="G738" s="74"/>
      <c r="H738" s="112" t="e">
        <f>(H735-G735)/G735</f>
        <v>#DIV/0!</v>
      </c>
      <c r="I738" s="112">
        <f>(I735-H735)/H735</f>
        <v>0</v>
      </c>
    </row>
    <row r="739" spans="1:9" ht="13.5" thickBot="1" x14ac:dyDescent="0.35">
      <c r="A739" s="448"/>
      <c r="B739" s="123"/>
      <c r="C739" s="123"/>
      <c r="D739" s="123"/>
      <c r="E739" s="123"/>
      <c r="F739" s="123"/>
      <c r="G739" s="123"/>
      <c r="H739" s="123"/>
      <c r="I739" s="123"/>
    </row>
    <row r="740" spans="1:9" ht="13.5" thickTop="1" x14ac:dyDescent="0.3">
      <c r="A740" s="91"/>
      <c r="B740" s="74"/>
      <c r="C740" s="74"/>
      <c r="D740" s="74"/>
      <c r="E740" s="74"/>
      <c r="F740" s="74"/>
      <c r="G740" s="74"/>
      <c r="H740" s="74"/>
      <c r="I740" s="74"/>
    </row>
    <row r="741" spans="1:9" ht="13" x14ac:dyDescent="0.3">
      <c r="A741" s="91"/>
      <c r="B741" s="74" t="s">
        <v>1</v>
      </c>
      <c r="C741" s="74"/>
      <c r="D741" s="74"/>
      <c r="E741" s="74"/>
      <c r="F741" s="74"/>
      <c r="G741" s="74"/>
      <c r="H741" s="100"/>
      <c r="I741" s="100"/>
    </row>
    <row r="742" spans="1:9" ht="36.75" customHeight="1" x14ac:dyDescent="0.3">
      <c r="A742" s="91"/>
      <c r="B742" s="937" t="s">
        <v>645</v>
      </c>
      <c r="C742" s="938"/>
      <c r="D742" s="938"/>
      <c r="E742" s="938"/>
      <c r="F742" s="938"/>
      <c r="G742" s="939"/>
      <c r="H742" s="810" t="s">
        <v>666</v>
      </c>
      <c r="I742" s="810" t="s">
        <v>666</v>
      </c>
    </row>
    <row r="743" spans="1:9" ht="13" x14ac:dyDescent="0.3">
      <c r="A743" s="91"/>
      <c r="B743" s="74" t="s">
        <v>1</v>
      </c>
      <c r="C743" s="74"/>
      <c r="D743" s="74"/>
      <c r="E743" s="74"/>
      <c r="F743" s="74"/>
      <c r="G743" s="74"/>
      <c r="H743" s="74"/>
      <c r="I743" s="74"/>
    </row>
    <row r="744" spans="1:9" ht="13" x14ac:dyDescent="0.3">
      <c r="A744" s="91"/>
      <c r="B744" s="74" t="s">
        <v>1</v>
      </c>
      <c r="C744" s="74"/>
      <c r="D744" s="74"/>
      <c r="E744" s="74"/>
      <c r="F744" s="74"/>
      <c r="G744" s="74"/>
      <c r="H744" s="103" t="str">
        <f>+'Unit tariffs'!$F$11</f>
        <v>2026/2027</v>
      </c>
      <c r="I744" s="103" t="str">
        <f>+'Unit tariffs'!$F$11</f>
        <v>2026/2027</v>
      </c>
    </row>
    <row r="745" spans="1:9" ht="13" x14ac:dyDescent="0.3">
      <c r="A745" s="91"/>
      <c r="B745" s="104" t="s">
        <v>117</v>
      </c>
      <c r="C745" s="74"/>
      <c r="D745" s="74"/>
      <c r="E745" s="74"/>
      <c r="F745" s="74"/>
      <c r="G745" s="74"/>
      <c r="H745" s="127"/>
      <c r="I745" s="127"/>
    </row>
    <row r="746" spans="1:9" ht="13" x14ac:dyDescent="0.3">
      <c r="A746" s="91"/>
      <c r="B746" s="74" t="s">
        <v>118</v>
      </c>
      <c r="C746" s="74"/>
      <c r="D746" s="74"/>
      <c r="E746" s="74"/>
      <c r="F746" s="74"/>
      <c r="G746" s="74"/>
      <c r="H746" s="127"/>
      <c r="I746" s="127"/>
    </row>
    <row r="747" spans="1:9" ht="13" x14ac:dyDescent="0.3">
      <c r="A747" s="91"/>
      <c r="B747" s="74">
        <v>7.5</v>
      </c>
      <c r="C747" s="74" t="str">
        <f>'Unit tariffs'!B$133</f>
        <v>Secondary Backbone - LV Urban</v>
      </c>
      <c r="D747" s="74"/>
      <c r="E747" s="74"/>
      <c r="F747" s="74" t="str">
        <f>'Unit tariffs'!C$132</f>
        <v>per kVA</v>
      </c>
      <c r="G747" s="74"/>
      <c r="H747" s="76">
        <f>VLOOKUP($C747,'Unit tariffs'!$B$21:$F$158,5,FALSE)*$B747</f>
        <v>9272.1027980542531</v>
      </c>
      <c r="I747" s="76">
        <f>VLOOKUP($C747,'Unit tariffs'!$B$21:$F$158,5,FALSE)*$B747</f>
        <v>9272.1027980542531</v>
      </c>
    </row>
    <row r="748" spans="1:9" ht="13" x14ac:dyDescent="0.3">
      <c r="A748" s="91"/>
      <c r="B748" s="74">
        <v>7.5</v>
      </c>
      <c r="C748" s="74" t="str">
        <f>'Unit tariffs'!B$134</f>
        <v>LV Backbone -Urban</v>
      </c>
      <c r="D748" s="74"/>
      <c r="E748" s="74"/>
      <c r="F748" s="74" t="str">
        <f>'Unit tariffs'!C$133</f>
        <v>per kVA</v>
      </c>
      <c r="G748" s="74"/>
      <c r="H748" s="81">
        <f>VLOOKUP($C748,'Unit tariffs'!$B$21:$F$158,5,FALSE)*$B748</f>
        <v>3856.9929624765</v>
      </c>
      <c r="I748" s="81">
        <f>VLOOKUP($C748,'Unit tariffs'!$B$21:$F$158,5,FALSE)*$B748</f>
        <v>3856.9929624765</v>
      </c>
    </row>
    <row r="749" spans="1:9" ht="13" x14ac:dyDescent="0.3">
      <c r="A749" s="91"/>
      <c r="G749" s="74"/>
      <c r="H749" s="76">
        <f>SUM(H747:H748)</f>
        <v>13129.095760530752</v>
      </c>
      <c r="I749" s="76">
        <f>SUM(I747:I748)</f>
        <v>13129.095760530752</v>
      </c>
    </row>
    <row r="750" spans="1:9" ht="13" x14ac:dyDescent="0.3">
      <c r="A750" s="91"/>
      <c r="B750" s="74"/>
      <c r="C750" s="74"/>
      <c r="D750" s="74"/>
      <c r="E750" s="74"/>
      <c r="F750" s="74"/>
      <c r="G750" s="74"/>
      <c r="H750" s="76"/>
      <c r="I750" s="76"/>
    </row>
    <row r="751" spans="1:9" ht="13" x14ac:dyDescent="0.3">
      <c r="A751" s="91"/>
      <c r="B751" s="104" t="s">
        <v>41</v>
      </c>
      <c r="C751" s="74"/>
      <c r="D751" s="74"/>
      <c r="E751" s="74"/>
      <c r="F751" s="74"/>
      <c r="G751" s="74"/>
      <c r="H751" s="74"/>
      <c r="I751" s="74"/>
    </row>
    <row r="752" spans="1:9" ht="13" x14ac:dyDescent="0.3">
      <c r="A752" s="91"/>
      <c r="B752" s="74"/>
      <c r="C752" s="74"/>
      <c r="D752" s="74"/>
      <c r="E752" s="74"/>
      <c r="F752" s="74"/>
      <c r="G752" s="74"/>
      <c r="H752" s="74"/>
      <c r="I752" s="74"/>
    </row>
    <row r="753" spans="1:9" ht="13" x14ac:dyDescent="0.3">
      <c r="A753" s="91"/>
      <c r="B753" s="74">
        <v>1</v>
      </c>
      <c r="C753" s="347" t="str">
        <f>'Unit tariffs'!B36</f>
        <v xml:space="preserve">Prepaid meter (Split) 3 phase - </v>
      </c>
      <c r="D753" s="74"/>
      <c r="E753" s="74"/>
      <c r="F753" s="74"/>
      <c r="G753" s="74"/>
      <c r="H753" s="189">
        <f>VLOOKUP($C753,'Unit tariffs'!$B$21:$F$123,5,FALSE)*$B753</f>
        <v>0</v>
      </c>
      <c r="I753" s="189">
        <f>VLOOKUP($C753,'Unit tariffs'!$B$21:$F$123,5,FALSE)*$B753</f>
        <v>0</v>
      </c>
    </row>
    <row r="754" spans="1:9" ht="13" x14ac:dyDescent="0.3">
      <c r="A754" s="91"/>
      <c r="B754" s="74">
        <v>3</v>
      </c>
      <c r="C754" s="74" t="str">
        <f>'Unit tariffs'!B43</f>
        <v>x 80 A circuit breaker (5kA) - Orange</v>
      </c>
      <c r="D754" s="74"/>
      <c r="E754" s="74"/>
      <c r="F754" s="74"/>
      <c r="G754" s="74"/>
      <c r="H754" s="76">
        <f>VLOOKUP($C754,'Unit tariffs'!$B$21:$F$123,5,FALSE)*$B754</f>
        <v>0</v>
      </c>
      <c r="I754" s="76">
        <f>VLOOKUP($C754,'Unit tariffs'!$B$21:$F$123,5,FALSE)*$B754</f>
        <v>0</v>
      </c>
    </row>
    <row r="755" spans="1:9" ht="13" x14ac:dyDescent="0.3">
      <c r="A755" s="91"/>
      <c r="B755" s="74">
        <v>1</v>
      </c>
      <c r="C755" s="74" t="str">
        <f>'Unit tariffs'!B72</f>
        <v>Cable clamp (Clampex) - K26</v>
      </c>
      <c r="D755" s="74"/>
      <c r="E755" s="74"/>
      <c r="F755" s="74"/>
      <c r="G755" s="74"/>
      <c r="H755" s="76">
        <f>VLOOKUP($C755,'Unit tariffs'!$B$21:$F$123,5,FALSE)*$B755</f>
        <v>1423.2410081400001</v>
      </c>
      <c r="I755" s="76">
        <f>VLOOKUP($C755,'Unit tariffs'!$B$21:$F$123,5,FALSE)*$B755</f>
        <v>1423.2410081400001</v>
      </c>
    </row>
    <row r="756" spans="1:9" ht="13" x14ac:dyDescent="0.3">
      <c r="A756" s="91"/>
      <c r="B756" s="74">
        <v>1</v>
      </c>
      <c r="C756" s="74" t="str">
        <f>'Unit tariffs'!B21</f>
        <v>Installation material</v>
      </c>
      <c r="D756" s="74"/>
      <c r="E756" s="74"/>
      <c r="F756" s="74"/>
      <c r="G756" s="74"/>
      <c r="H756" s="81">
        <f>VLOOKUP($C756,'Unit tariffs'!$B$21:$F$123,5,FALSE)*$B756</f>
        <v>282.48325</v>
      </c>
      <c r="I756" s="81">
        <f>VLOOKUP($C756,'Unit tariffs'!$B$21:$F$123,5,FALSE)*$B756</f>
        <v>282.48325</v>
      </c>
    </row>
    <row r="757" spans="1:9" ht="13" x14ac:dyDescent="0.3">
      <c r="A757" s="91"/>
      <c r="B757" s="74"/>
      <c r="C757" s="74"/>
      <c r="D757" s="74"/>
      <c r="E757" s="74"/>
      <c r="F757" s="74"/>
      <c r="G757" s="74"/>
      <c r="H757" s="76">
        <f>SUM(H753:H756)</f>
        <v>1705.7242581400001</v>
      </c>
      <c r="I757" s="76">
        <f>SUM(I753:I756)</f>
        <v>1705.7242581400001</v>
      </c>
    </row>
    <row r="758" spans="1:9" ht="13" x14ac:dyDescent="0.3">
      <c r="A758" s="91"/>
      <c r="B758" s="104" t="s">
        <v>42</v>
      </c>
      <c r="C758" s="74"/>
      <c r="D758" s="74"/>
      <c r="E758" s="74"/>
      <c r="F758" s="74"/>
      <c r="G758" s="74"/>
      <c r="H758" s="74"/>
      <c r="I758" s="74"/>
    </row>
    <row r="759" spans="1:9" ht="13" x14ac:dyDescent="0.3">
      <c r="A759" s="91"/>
      <c r="B759" s="74"/>
      <c r="C759" s="74"/>
      <c r="D759" s="74"/>
      <c r="E759" s="74"/>
      <c r="F759" s="74"/>
      <c r="G759" s="74"/>
      <c r="H759" s="74"/>
      <c r="I759" s="74"/>
    </row>
    <row r="760" spans="1:9" ht="13" x14ac:dyDescent="0.3">
      <c r="A760" s="91"/>
      <c r="B760" s="74">
        <v>1</v>
      </c>
      <c r="C760" s="74" t="str">
        <f>'Unit tariffs'!B$87</f>
        <v xml:space="preserve">hour-artisan </v>
      </c>
      <c r="D760" s="74"/>
      <c r="E760" s="74"/>
      <c r="F760" s="74"/>
      <c r="G760" s="74"/>
      <c r="H760" s="76">
        <f>VLOOKUP($C760,'Unit tariffs'!$B$21:$F$123,5,FALSE)*$B760</f>
        <v>351.19276615384621</v>
      </c>
      <c r="I760" s="76">
        <f>VLOOKUP($C760,'Unit tariffs'!$B$21:$F$123,5,FALSE)*$B760</f>
        <v>351.19276615384621</v>
      </c>
    </row>
    <row r="761" spans="1:9" ht="13" x14ac:dyDescent="0.3">
      <c r="A761" s="91"/>
      <c r="B761" s="74">
        <v>1</v>
      </c>
      <c r="C761" s="74" t="str">
        <f>'Unit tariffs'!B$85</f>
        <v>hour-artisan assistant</v>
      </c>
      <c r="D761" s="74"/>
      <c r="E761" s="74"/>
      <c r="F761" s="74"/>
      <c r="G761" s="74"/>
      <c r="H761" s="81">
        <f>VLOOKUP($C761,'Unit tariffs'!$B$21:$F$123,5,FALSE)*$B761</f>
        <v>139.82425846153848</v>
      </c>
      <c r="I761" s="81">
        <f>VLOOKUP($C761,'Unit tariffs'!$B$21:$F$123,5,FALSE)*$B761</f>
        <v>139.82425846153848</v>
      </c>
    </row>
    <row r="762" spans="1:9" ht="13" x14ac:dyDescent="0.3">
      <c r="A762" s="91"/>
      <c r="B762" s="74"/>
      <c r="C762" s="74"/>
      <c r="D762" s="74"/>
      <c r="E762" s="74"/>
      <c r="F762" s="74"/>
      <c r="G762" s="74"/>
      <c r="H762" s="76">
        <f>SUM(H760:H761)</f>
        <v>491.01702461538468</v>
      </c>
      <c r="I762" s="76">
        <f>SUM(I760:I761)</f>
        <v>491.01702461538468</v>
      </c>
    </row>
    <row r="763" spans="1:9" ht="13" x14ac:dyDescent="0.3">
      <c r="A763" s="91"/>
      <c r="B763" s="104" t="s">
        <v>43</v>
      </c>
      <c r="C763" s="74"/>
      <c r="D763" s="74"/>
      <c r="E763" s="74"/>
      <c r="F763" s="74"/>
      <c r="G763" s="74"/>
      <c r="H763" s="74"/>
      <c r="I763" s="74"/>
    </row>
    <row r="764" spans="1:9" ht="13" x14ac:dyDescent="0.3">
      <c r="A764" s="91"/>
      <c r="B764" s="74"/>
      <c r="C764" s="74"/>
      <c r="D764" s="74"/>
      <c r="E764" s="74"/>
      <c r="F764" s="74"/>
      <c r="G764" s="74"/>
      <c r="H764" s="74"/>
      <c r="I764" s="74"/>
    </row>
    <row r="765" spans="1:9" ht="13" x14ac:dyDescent="0.3">
      <c r="A765" s="91"/>
      <c r="B765" s="74">
        <v>24</v>
      </c>
      <c r="C765" s="74" t="str">
        <f>'Unit tariffs'!B$111</f>
        <v>km-truck with platform</v>
      </c>
      <c r="D765" s="74"/>
      <c r="E765" s="74"/>
      <c r="F765" s="74"/>
      <c r="G765" s="74"/>
      <c r="H765" s="76">
        <f>VLOOKUP($C765,'Unit tariffs'!$B$21:$F$123,5,FALSE)*$B765</f>
        <v>1182.7997218118533</v>
      </c>
      <c r="I765" s="76">
        <f>VLOOKUP($C765,'Unit tariffs'!$B$21:$F$123,5,FALSE)*$B765</f>
        <v>1182.7997218118533</v>
      </c>
    </row>
    <row r="766" spans="1:9" ht="13" x14ac:dyDescent="0.3">
      <c r="A766" s="91"/>
      <c r="B766" s="74">
        <v>1</v>
      </c>
      <c r="C766" s="74" t="str">
        <f>'Unit tariffs'!B$112</f>
        <v>hour-truck with platform</v>
      </c>
      <c r="D766" s="74"/>
      <c r="E766" s="74"/>
      <c r="F766" s="74"/>
      <c r="G766" s="74"/>
      <c r="H766" s="76">
        <f>VLOOKUP($C766,'Unit tariffs'!$B$21:$F$123,5,FALSE)*$B766</f>
        <v>239.8431204962792</v>
      </c>
      <c r="I766" s="76">
        <f>VLOOKUP($C766,'Unit tariffs'!$B$21:$F$123,5,FALSE)*$B766</f>
        <v>239.8431204962792</v>
      </c>
    </row>
    <row r="767" spans="1:9" ht="13" x14ac:dyDescent="0.3">
      <c r="A767" s="91"/>
      <c r="B767" s="74"/>
      <c r="C767" s="74"/>
      <c r="D767" s="74"/>
      <c r="E767" s="74"/>
      <c r="F767" s="74"/>
      <c r="G767" s="74"/>
      <c r="H767" s="137">
        <f>SUM(H765:H766)</f>
        <v>1422.6428423081325</v>
      </c>
      <c r="I767" s="137">
        <f>SUM(I765:I766)</f>
        <v>1422.6428423081325</v>
      </c>
    </row>
    <row r="769" spans="1:9" ht="13" x14ac:dyDescent="0.3">
      <c r="A769" s="91"/>
      <c r="B769" s="74"/>
      <c r="C769" s="74"/>
      <c r="D769" s="74"/>
      <c r="E769" s="74"/>
      <c r="F769" s="74"/>
      <c r="G769" s="74"/>
      <c r="H769" s="76">
        <f>+H767+H762+H757+H749</f>
        <v>16748.479885594268</v>
      </c>
      <c r="I769" s="76">
        <f>+I767+I762+I757+I749</f>
        <v>16748.479885594268</v>
      </c>
    </row>
    <row r="770" spans="1:9" ht="13.5" thickBot="1" x14ac:dyDescent="0.35">
      <c r="A770" s="91"/>
      <c r="B770" s="104" t="str">
        <f>'Unit tariffs'!$B$7</f>
        <v>Administration Levy (Indirect Cost)</v>
      </c>
      <c r="C770" s="74"/>
      <c r="D770" s="106">
        <f>'Unit tariffs'!$C$7</f>
        <v>0.1</v>
      </c>
      <c r="E770" s="74" t="s">
        <v>311</v>
      </c>
      <c r="F770" s="186">
        <f>+'Unit tariffs'!$F$7</f>
        <v>10000</v>
      </c>
      <c r="G770" s="74"/>
      <c r="H770" s="108">
        <f>IF(H769*$D770&gt;='Unit tariffs'!$E$7,'Unit tariffs'!$E$7,H769*$D770)</f>
        <v>1674.847988559427</v>
      </c>
      <c r="I770" s="108">
        <f>IF(I769*$D770&gt;='Unit tariffs'!$E$7,'Unit tariffs'!$E$7,I769*$D770)</f>
        <v>1674.847988559427</v>
      </c>
    </row>
    <row r="771" spans="1:9" ht="13.5" thickTop="1" x14ac:dyDescent="0.3">
      <c r="A771" s="91"/>
      <c r="B771" s="104" t="s">
        <v>44</v>
      </c>
      <c r="C771" s="74"/>
      <c r="D771" s="74"/>
      <c r="E771" s="74"/>
      <c r="F771" s="74"/>
      <c r="G771" s="74"/>
      <c r="H771" s="109">
        <f>SUM(H769:H770)</f>
        <v>18423.327874153696</v>
      </c>
      <c r="I771" s="109">
        <f>SUM(I769:I770)</f>
        <v>18423.327874153696</v>
      </c>
    </row>
    <row r="772" spans="1:9" ht="13" x14ac:dyDescent="0.3">
      <c r="A772" s="91"/>
      <c r="B772" s="74"/>
      <c r="C772" s="74"/>
      <c r="D772" s="74"/>
      <c r="E772" s="74"/>
      <c r="F772" s="74"/>
      <c r="G772" s="74"/>
      <c r="H772" s="74"/>
      <c r="I772" s="74"/>
    </row>
    <row r="773" spans="1:9" ht="13" x14ac:dyDescent="0.3">
      <c r="A773" s="91"/>
      <c r="B773" s="104" t="s">
        <v>45</v>
      </c>
      <c r="C773" s="74"/>
      <c r="D773" s="74"/>
      <c r="E773" s="74"/>
      <c r="F773" s="74"/>
      <c r="G773" s="74"/>
      <c r="H773" s="84">
        <f>ROUND(H771,-1)</f>
        <v>18420</v>
      </c>
      <c r="I773" s="84">
        <f>ROUND(I771,-1)</f>
        <v>18420</v>
      </c>
    </row>
    <row r="774" spans="1:9" ht="13.5" thickBot="1" x14ac:dyDescent="0.35">
      <c r="A774" s="448"/>
      <c r="B774" s="796"/>
      <c r="C774" s="123"/>
      <c r="D774" s="123"/>
      <c r="E774" s="123"/>
      <c r="F774" s="123"/>
      <c r="G774" s="123"/>
      <c r="H774" s="797"/>
      <c r="I774" s="797"/>
    </row>
    <row r="775" spans="1:9" ht="13" thickTop="1" x14ac:dyDescent="0.25"/>
    <row r="776" spans="1:9" ht="33.75" customHeight="1" x14ac:dyDescent="0.3">
      <c r="A776" s="91"/>
      <c r="B776" s="931" t="s">
        <v>652</v>
      </c>
      <c r="C776" s="932"/>
      <c r="D776" s="932"/>
      <c r="E776" s="932"/>
      <c r="F776" s="932"/>
      <c r="G776" s="933"/>
      <c r="H776" s="806" t="s">
        <v>665</v>
      </c>
      <c r="I776" s="806" t="s">
        <v>665</v>
      </c>
    </row>
    <row r="777" spans="1:9" ht="13" x14ac:dyDescent="0.3">
      <c r="A777" s="91"/>
      <c r="B777" s="74" t="s">
        <v>1</v>
      </c>
      <c r="C777" s="74"/>
      <c r="D777" s="74"/>
      <c r="E777" s="74"/>
      <c r="F777" s="74"/>
      <c r="G777" s="74"/>
      <c r="H777" s="74"/>
      <c r="I777" s="74"/>
    </row>
    <row r="778" spans="1:9" ht="13" x14ac:dyDescent="0.3">
      <c r="A778" s="91"/>
      <c r="B778" s="74"/>
      <c r="C778" s="74"/>
      <c r="D778" s="74"/>
      <c r="E778" s="74"/>
      <c r="F778" s="74"/>
      <c r="G778" s="74"/>
      <c r="H778" s="103" t="str">
        <f>+'Unit tariffs'!$F$11</f>
        <v>2026/2027</v>
      </c>
      <c r="I778" s="103" t="str">
        <f>+'Unit tariffs'!$F$11</f>
        <v>2026/2027</v>
      </c>
    </row>
    <row r="779" spans="1:9" ht="13" x14ac:dyDescent="0.3">
      <c r="A779" s="91"/>
      <c r="B779" s="74" t="s">
        <v>1</v>
      </c>
      <c r="C779" s="74"/>
      <c r="D779" s="74"/>
      <c r="E779" s="74"/>
      <c r="F779" s="74"/>
      <c r="G779" s="74"/>
      <c r="H779" s="74"/>
      <c r="I779" s="74"/>
    </row>
    <row r="780" spans="1:9" ht="13" x14ac:dyDescent="0.3">
      <c r="A780" s="91"/>
      <c r="B780" s="74"/>
      <c r="C780" s="74"/>
      <c r="D780" s="74"/>
      <c r="E780" s="74"/>
      <c r="F780" s="74"/>
      <c r="G780" s="74"/>
      <c r="H780" s="103"/>
      <c r="I780" s="103"/>
    </row>
    <row r="781" spans="1:9" ht="13" x14ac:dyDescent="0.3">
      <c r="A781" s="91"/>
      <c r="B781" s="104" t="s">
        <v>117</v>
      </c>
      <c r="C781" s="74"/>
      <c r="D781" s="74"/>
      <c r="E781" s="74"/>
      <c r="F781" s="74"/>
      <c r="G781" s="74"/>
      <c r="H781" s="74"/>
      <c r="I781" s="74"/>
    </row>
    <row r="782" spans="1:9" ht="13" x14ac:dyDescent="0.3">
      <c r="A782" s="91"/>
      <c r="B782" s="74" t="s">
        <v>118</v>
      </c>
      <c r="C782" s="74"/>
      <c r="D782" s="74"/>
      <c r="E782" s="74"/>
      <c r="F782" s="74"/>
      <c r="G782" s="74"/>
      <c r="H782" s="74"/>
      <c r="I782" s="74"/>
    </row>
    <row r="783" spans="1:9" ht="13" x14ac:dyDescent="0.3">
      <c r="A783" s="91"/>
      <c r="B783" s="74">
        <v>2.5</v>
      </c>
      <c r="C783" s="74" t="str">
        <f>'Unit tariffs'!B$131</f>
        <v>Primary Backbone - Urban</v>
      </c>
      <c r="D783" s="74"/>
      <c r="E783" s="74"/>
      <c r="F783" s="74" t="str">
        <f>'Unit tariffs'!C$131</f>
        <v>per kVA</v>
      </c>
      <c r="G783" s="74"/>
      <c r="H783" s="76">
        <f>VLOOKUP($C783,'Unit tariffs'!$B$21:$F$155,5,FALSE)*$B783</f>
        <v>3588.7446084105004</v>
      </c>
      <c r="I783" s="76">
        <f>VLOOKUP($C783,'Unit tariffs'!$B$21:$F$155,5,FALSE)*$B783</f>
        <v>3588.7446084105004</v>
      </c>
    </row>
    <row r="784" spans="1:9" ht="13" x14ac:dyDescent="0.3">
      <c r="A784" s="91"/>
      <c r="B784" s="74">
        <v>2.5</v>
      </c>
      <c r="C784" s="74" t="str">
        <f>'Unit tariffs'!B$133</f>
        <v>Secondary Backbone - LV Urban</v>
      </c>
      <c r="D784" s="74"/>
      <c r="E784" s="74"/>
      <c r="F784" s="74" t="str">
        <f>'Unit tariffs'!C$132</f>
        <v>per kVA</v>
      </c>
      <c r="G784" s="74"/>
      <c r="H784" s="76">
        <f>VLOOKUP($C784,'Unit tariffs'!$B$21:$F$155,5,FALSE)*$B784</f>
        <v>3090.700932684751</v>
      </c>
      <c r="I784" s="76">
        <f>VLOOKUP($C784,'Unit tariffs'!$B$21:$F$155,5,FALSE)*$B784</f>
        <v>3090.700932684751</v>
      </c>
    </row>
    <row r="785" spans="1:9" ht="13" x14ac:dyDescent="0.3">
      <c r="A785" s="91"/>
      <c r="B785" s="74">
        <v>2.5</v>
      </c>
      <c r="C785" s="74" t="str">
        <f>'Unit tariffs'!B$134</f>
        <v>LV Backbone -Urban</v>
      </c>
      <c r="D785" s="74"/>
      <c r="E785" s="74"/>
      <c r="F785" s="74" t="str">
        <f>'Unit tariffs'!C$133</f>
        <v>per kVA</v>
      </c>
      <c r="G785" s="74"/>
      <c r="H785" s="81">
        <f>VLOOKUP($C785,'Unit tariffs'!$B$21:$F$155,5,FALSE)*$B785</f>
        <v>1285.6643208255</v>
      </c>
      <c r="I785" s="81">
        <f>VLOOKUP($C785,'Unit tariffs'!$B$21:$F$155,5,FALSE)*$B785</f>
        <v>1285.6643208255</v>
      </c>
    </row>
    <row r="786" spans="1:9" ht="13" x14ac:dyDescent="0.3">
      <c r="A786" s="91"/>
      <c r="B786" s="74"/>
      <c r="C786" s="74"/>
      <c r="D786" s="74"/>
      <c r="E786" s="74"/>
      <c r="F786" s="74"/>
      <c r="G786" s="74"/>
      <c r="H786" s="76">
        <f>SUM(H783:H785)</f>
        <v>7965.1098619207514</v>
      </c>
      <c r="I786" s="76">
        <f>SUM(I783:I785)</f>
        <v>7965.1098619207514</v>
      </c>
    </row>
    <row r="787" spans="1:9" ht="13" x14ac:dyDescent="0.3">
      <c r="A787" s="91"/>
      <c r="B787" s="74"/>
      <c r="C787" s="74"/>
      <c r="D787" s="74"/>
      <c r="E787" s="74"/>
      <c r="F787" s="74"/>
      <c r="G787" s="74"/>
      <c r="H787" s="76"/>
      <c r="I787" s="76"/>
    </row>
    <row r="788" spans="1:9" ht="13" x14ac:dyDescent="0.3">
      <c r="A788" s="91"/>
      <c r="B788" s="104" t="s">
        <v>41</v>
      </c>
      <c r="C788" s="74"/>
      <c r="D788" s="74"/>
      <c r="E788" s="74"/>
      <c r="F788" s="74"/>
      <c r="G788" s="74"/>
      <c r="H788" s="76"/>
      <c r="I788" s="76"/>
    </row>
    <row r="789" spans="1:9" ht="14.5" x14ac:dyDescent="0.35">
      <c r="A789" s="91"/>
      <c r="B789" s="74">
        <v>1</v>
      </c>
      <c r="C789" s="705" t="str">
        <f>'Unit tariffs'!B46</f>
        <v>METER: TIME OF USE 100 AMP</v>
      </c>
      <c r="D789" s="74"/>
      <c r="E789" s="74"/>
      <c r="F789" s="74"/>
      <c r="G789" s="74"/>
      <c r="H789" s="76">
        <f>VLOOKUP($C789,'Unit tariffs'!$B$21:$F$123,5,FALSE)*$B789</f>
        <v>0</v>
      </c>
      <c r="I789" s="76">
        <f>VLOOKUP($C789,'Unit tariffs'!$B$21:$F$123,5,FALSE)*$B789</f>
        <v>0</v>
      </c>
    </row>
    <row r="790" spans="1:9" ht="13" x14ac:dyDescent="0.3">
      <c r="A790" s="91"/>
      <c r="B790" s="74">
        <v>0</v>
      </c>
      <c r="C790" s="74" t="str">
        <f>+'Unit tariffs'!B47</f>
        <v>Modum for TOU meter</v>
      </c>
      <c r="D790" s="74"/>
      <c r="E790" s="74"/>
      <c r="F790" s="74"/>
      <c r="G790" s="74"/>
      <c r="H790" s="76">
        <f>VLOOKUP($C790,'Unit tariffs'!$B$21:$F$123,5,FALSE)*$B790</f>
        <v>0</v>
      </c>
      <c r="I790" s="76">
        <f>VLOOKUP($C790,'Unit tariffs'!$B$21:$F$123,5,FALSE)*$B790</f>
        <v>0</v>
      </c>
    </row>
    <row r="791" spans="1:9" ht="13" x14ac:dyDescent="0.3">
      <c r="A791" s="91"/>
      <c r="B791" s="74">
        <v>3</v>
      </c>
      <c r="C791" s="74" t="str">
        <f>'Unit tariffs'!B43</f>
        <v>x 80 A circuit breaker (5kA) - Orange</v>
      </c>
      <c r="D791" s="74"/>
      <c r="E791" s="74"/>
      <c r="F791" s="74"/>
      <c r="G791" s="74"/>
      <c r="H791" s="76">
        <f>VLOOKUP($C791,'Unit tariffs'!$B$21:$F$123,5,FALSE)*$B791</f>
        <v>0</v>
      </c>
      <c r="I791" s="76">
        <f>VLOOKUP($C791,'Unit tariffs'!$B$21:$F$123,5,FALSE)*$B791</f>
        <v>0</v>
      </c>
    </row>
    <row r="792" spans="1:9" ht="13" x14ac:dyDescent="0.3">
      <c r="A792" s="91"/>
      <c r="B792" s="74">
        <v>1</v>
      </c>
      <c r="C792" s="74" t="str">
        <f>'Unit tariffs'!B21</f>
        <v>Installation material</v>
      </c>
      <c r="D792" s="74"/>
      <c r="E792" s="74"/>
      <c r="F792" s="74"/>
      <c r="G792" s="74"/>
      <c r="H792" s="81">
        <f>VLOOKUP($C792,'Unit tariffs'!$B$21:$F$123,5,FALSE)*$B792</f>
        <v>282.48325</v>
      </c>
      <c r="I792" s="81">
        <f>VLOOKUP($C792,'Unit tariffs'!$B$21:$F$123,5,FALSE)*$B792</f>
        <v>282.48325</v>
      </c>
    </row>
    <row r="793" spans="1:9" ht="13" x14ac:dyDescent="0.3">
      <c r="A793" s="91"/>
      <c r="B793" s="74"/>
      <c r="C793" s="74"/>
      <c r="D793" s="74"/>
      <c r="E793" s="74"/>
      <c r="F793" s="74"/>
      <c r="G793" s="76"/>
      <c r="H793" s="76">
        <f>SUM(H789:H792)</f>
        <v>282.48325</v>
      </c>
      <c r="I793" s="76">
        <f>SUM(I789:I792)</f>
        <v>282.48325</v>
      </c>
    </row>
    <row r="794" spans="1:9" ht="13" x14ac:dyDescent="0.3">
      <c r="A794" s="91"/>
      <c r="B794" s="74"/>
      <c r="C794" s="74"/>
      <c r="D794" s="74"/>
      <c r="E794" s="74"/>
      <c r="F794" s="74"/>
      <c r="G794" s="76"/>
      <c r="H794" s="76"/>
      <c r="I794" s="76"/>
    </row>
    <row r="795" spans="1:9" ht="13" x14ac:dyDescent="0.3">
      <c r="A795" s="91"/>
      <c r="B795" s="104" t="s">
        <v>42</v>
      </c>
      <c r="C795" s="74"/>
      <c r="D795" s="74"/>
      <c r="E795" s="74"/>
      <c r="F795" s="74"/>
      <c r="G795" s="74"/>
    </row>
    <row r="796" spans="1:9" ht="13" x14ac:dyDescent="0.3">
      <c r="A796" s="91"/>
      <c r="B796" s="74"/>
      <c r="C796" s="74"/>
      <c r="D796" s="74"/>
      <c r="E796" s="74"/>
      <c r="F796" s="74"/>
      <c r="G796" s="74"/>
    </row>
    <row r="797" spans="1:9" ht="13" x14ac:dyDescent="0.3">
      <c r="A797" s="91"/>
      <c r="B797" s="74">
        <v>2</v>
      </c>
      <c r="C797" s="74" t="str">
        <f>'Unit tariffs'!B$87</f>
        <v xml:space="preserve">hour-artisan </v>
      </c>
      <c r="D797" s="74"/>
      <c r="E797" s="74"/>
      <c r="F797" s="74"/>
      <c r="G797" s="74"/>
      <c r="H797" s="76">
        <f>VLOOKUP($C797,'Unit tariffs'!$B$21:$F$123,5,FALSE)*$B797</f>
        <v>702.38553230769242</v>
      </c>
      <c r="I797" s="76">
        <f>VLOOKUP($C797,'Unit tariffs'!$B$21:$F$123,5,FALSE)*$B797</f>
        <v>702.38553230769242</v>
      </c>
    </row>
    <row r="798" spans="1:9" ht="13" x14ac:dyDescent="0.3">
      <c r="A798" s="91"/>
      <c r="B798" s="74">
        <f>+B797*2</f>
        <v>4</v>
      </c>
      <c r="C798" s="74" t="str">
        <f>'Unit tariffs'!B$85</f>
        <v>hour-artisan assistant</v>
      </c>
      <c r="D798" s="74"/>
      <c r="E798" s="74"/>
      <c r="F798" s="74"/>
      <c r="G798" s="74"/>
      <c r="H798" s="81">
        <f>VLOOKUP($C798,'Unit tariffs'!$B$21:$F$123,5,FALSE)*$B798</f>
        <v>559.29703384615391</v>
      </c>
      <c r="I798" s="81">
        <f>VLOOKUP($C798,'Unit tariffs'!$B$21:$F$123,5,FALSE)*$B798</f>
        <v>559.29703384615391</v>
      </c>
    </row>
    <row r="799" spans="1:9" ht="13" x14ac:dyDescent="0.3">
      <c r="A799" s="91"/>
      <c r="B799" s="74"/>
      <c r="C799" s="74"/>
      <c r="D799" s="74"/>
      <c r="E799" s="74"/>
      <c r="F799" s="74"/>
      <c r="G799" s="74"/>
      <c r="H799" s="76">
        <f>SUM(H797:H798)</f>
        <v>1261.6825661538464</v>
      </c>
      <c r="I799" s="76">
        <f>SUM(I797:I798)</f>
        <v>1261.6825661538464</v>
      </c>
    </row>
    <row r="800" spans="1:9" ht="13" x14ac:dyDescent="0.3">
      <c r="A800" s="91"/>
      <c r="B800" s="104" t="s">
        <v>43</v>
      </c>
      <c r="C800" s="74"/>
      <c r="D800" s="74"/>
      <c r="E800" s="74"/>
      <c r="F800" s="74"/>
      <c r="G800" s="74"/>
    </row>
    <row r="801" spans="1:9" ht="13" x14ac:dyDescent="0.3">
      <c r="A801" s="91"/>
      <c r="B801" s="74"/>
      <c r="C801" s="74"/>
      <c r="D801" s="74"/>
      <c r="E801" s="74"/>
      <c r="F801" s="74"/>
      <c r="G801" s="74"/>
    </row>
    <row r="802" spans="1:9" ht="13" x14ac:dyDescent="0.3">
      <c r="A802" s="91"/>
      <c r="B802" s="74">
        <v>24</v>
      </c>
      <c r="C802" s="74" t="str">
        <f>'Unit tariffs'!B$111</f>
        <v>km-truck with platform</v>
      </c>
      <c r="D802" s="74"/>
      <c r="E802" s="74"/>
      <c r="F802" s="74"/>
      <c r="G802" s="74"/>
      <c r="H802" s="76">
        <f>VLOOKUP($C802,'Unit tariffs'!$B$21:$F$123,5,FALSE)*$B802</f>
        <v>1182.7997218118533</v>
      </c>
      <c r="I802" s="76">
        <f>VLOOKUP($C802,'Unit tariffs'!$B$21:$F$123,5,FALSE)*$B802</f>
        <v>1182.7997218118533</v>
      </c>
    </row>
    <row r="803" spans="1:9" ht="13" x14ac:dyDescent="0.3">
      <c r="A803" s="91"/>
      <c r="B803" s="74">
        <v>0.5</v>
      </c>
      <c r="C803" s="74" t="str">
        <f>'Unit tariffs'!B$112</f>
        <v>hour-truck with platform</v>
      </c>
      <c r="D803" s="74"/>
      <c r="E803" s="74"/>
      <c r="F803" s="74"/>
      <c r="G803" s="74"/>
      <c r="H803" s="76">
        <f>VLOOKUP($C803,'Unit tariffs'!$B$21:$F$123,5,FALSE)*$B803</f>
        <v>119.9215602481396</v>
      </c>
      <c r="I803" s="76">
        <f>VLOOKUP($C803,'Unit tariffs'!$B$21:$F$123,5,FALSE)*$B803</f>
        <v>119.9215602481396</v>
      </c>
    </row>
    <row r="804" spans="1:9" ht="13" x14ac:dyDescent="0.3">
      <c r="A804" s="91"/>
      <c r="B804" s="74"/>
      <c r="C804" s="74"/>
      <c r="D804" s="74"/>
      <c r="E804" s="74"/>
      <c r="F804" s="74"/>
      <c r="G804" s="74"/>
      <c r="H804" s="137">
        <f>SUM(H802:H803)</f>
        <v>1302.721282059993</v>
      </c>
      <c r="I804" s="137">
        <f>SUM(I802:I803)</f>
        <v>1302.721282059993</v>
      </c>
    </row>
    <row r="805" spans="1:9" ht="13" x14ac:dyDescent="0.3">
      <c r="A805" s="91"/>
      <c r="B805" s="74"/>
      <c r="C805" s="74"/>
      <c r="D805" s="74"/>
      <c r="E805" s="74"/>
      <c r="F805" s="74"/>
      <c r="G805" s="76"/>
    </row>
    <row r="806" spans="1:9" ht="13" x14ac:dyDescent="0.3">
      <c r="A806" s="91"/>
      <c r="G806" s="76"/>
    </row>
    <row r="807" spans="1:9" ht="13" x14ac:dyDescent="0.3">
      <c r="A807" s="91"/>
      <c r="B807" s="104" t="str">
        <f>'Unit tariffs'!$B$7</f>
        <v>Administration Levy (Indirect Cost)</v>
      </c>
      <c r="C807" s="74"/>
      <c r="D807" s="106">
        <f>'Unit tariffs'!$C$7</f>
        <v>0.1</v>
      </c>
      <c r="E807" s="74" t="s">
        <v>311</v>
      </c>
      <c r="F807" s="186">
        <f>+'Unit tariffs'!$F$7</f>
        <v>10000</v>
      </c>
      <c r="G807" s="76"/>
      <c r="H807" s="76">
        <f>+H804+H799+H793+H786</f>
        <v>10811.996960134591</v>
      </c>
      <c r="I807" s="76">
        <f>+I804+I799+I793+I786</f>
        <v>10811.996960134591</v>
      </c>
    </row>
    <row r="808" spans="1:9" ht="13.5" thickBot="1" x14ac:dyDescent="0.35">
      <c r="A808" s="91"/>
      <c r="B808" s="104" t="s">
        <v>44</v>
      </c>
      <c r="C808" s="74"/>
      <c r="D808" s="74"/>
      <c r="E808" s="74"/>
      <c r="F808" s="74"/>
      <c r="G808" s="76"/>
      <c r="H808" s="108">
        <f>IF(H807*$D807&gt;='Unit tariffs'!$E$7,'Unit tariffs'!$E$7,H807*$D807)</f>
        <v>1081.1996960134591</v>
      </c>
      <c r="I808" s="108">
        <f>IF(I807*$D807&gt;='Unit tariffs'!$E$7,'Unit tariffs'!$E$7,I807*$D807)</f>
        <v>1081.1996960134591</v>
      </c>
    </row>
    <row r="809" spans="1:9" ht="13.5" thickTop="1" x14ac:dyDescent="0.3">
      <c r="A809" s="91"/>
      <c r="B809" s="104"/>
      <c r="C809" s="74"/>
      <c r="D809" s="74"/>
      <c r="E809" s="74"/>
      <c r="F809" s="74"/>
      <c r="G809" s="74"/>
      <c r="H809" s="109">
        <f>SUM(H807:H808)</f>
        <v>11893.196656148049</v>
      </c>
      <c r="I809" s="109">
        <f>SUM(I807:I808)</f>
        <v>11893.196656148049</v>
      </c>
    </row>
    <row r="810" spans="1:9" ht="13" x14ac:dyDescent="0.3">
      <c r="A810" s="91"/>
      <c r="B810" s="104" t="s">
        <v>45</v>
      </c>
      <c r="C810" s="74"/>
      <c r="D810" s="74"/>
      <c r="E810" s="74"/>
      <c r="F810" s="74"/>
      <c r="G810" s="74"/>
      <c r="H810" s="74"/>
      <c r="I810" s="74"/>
    </row>
    <row r="811" spans="1:9" ht="13" x14ac:dyDescent="0.3">
      <c r="A811" s="91"/>
      <c r="B811" s="74"/>
      <c r="C811" s="74"/>
      <c r="D811" s="74"/>
      <c r="E811" s="74"/>
      <c r="F811" s="74"/>
      <c r="G811" s="74"/>
      <c r="H811" s="84">
        <f>ROUND(H809,-1)</f>
        <v>11890</v>
      </c>
      <c r="I811" s="84">
        <f>ROUND(I809,-1)</f>
        <v>11890</v>
      </c>
    </row>
    <row r="812" spans="1:9" ht="13" x14ac:dyDescent="0.3">
      <c r="A812" s="91"/>
      <c r="B812" s="74"/>
      <c r="C812" s="74"/>
      <c r="D812" s="74"/>
      <c r="E812" s="74"/>
      <c r="F812" s="74"/>
      <c r="G812" s="74"/>
      <c r="H812" s="76"/>
      <c r="I812" s="76"/>
    </row>
    <row r="813" spans="1:9" ht="13" x14ac:dyDescent="0.3">
      <c r="A813" s="91"/>
      <c r="B813" s="74"/>
      <c r="C813" s="74"/>
      <c r="D813" s="74"/>
      <c r="E813" s="74"/>
      <c r="F813" s="74"/>
      <c r="G813" s="74"/>
      <c r="H813" s="112" t="e">
        <f>(+H811-G811)/G811</f>
        <v>#DIV/0!</v>
      </c>
      <c r="I813" s="112">
        <f>(+I811-H811)/H811</f>
        <v>0</v>
      </c>
    </row>
    <row r="814" spans="1:9" ht="13" x14ac:dyDescent="0.3">
      <c r="A814" s="91"/>
      <c r="B814" s="74"/>
      <c r="C814" s="74"/>
      <c r="D814" s="74"/>
      <c r="E814" s="74"/>
      <c r="F814" s="74"/>
      <c r="G814" s="74"/>
      <c r="H814" s="112"/>
      <c r="I814" s="112"/>
    </row>
    <row r="815" spans="1:9" ht="13.5" thickBot="1" x14ac:dyDescent="0.35">
      <c r="A815" s="448"/>
      <c r="B815" s="123"/>
      <c r="C815" s="123"/>
      <c r="D815" s="123"/>
      <c r="E815" s="123"/>
      <c r="F815" s="123"/>
      <c r="G815" s="123"/>
      <c r="H815" s="123"/>
      <c r="I815" s="123"/>
    </row>
    <row r="816" spans="1:9" ht="13.5" thickTop="1" x14ac:dyDescent="0.3">
      <c r="A816" s="445"/>
      <c r="B816" s="134"/>
      <c r="C816" s="120"/>
      <c r="D816" s="120"/>
      <c r="E816" s="120" t="s">
        <v>1</v>
      </c>
      <c r="F816" s="120"/>
      <c r="G816" s="120"/>
      <c r="H816" s="120"/>
      <c r="I816" s="120"/>
    </row>
    <row r="817" spans="1:9" ht="34.25" customHeight="1" x14ac:dyDescent="0.3">
      <c r="A817" s="91"/>
      <c r="B817" s="931" t="s">
        <v>653</v>
      </c>
      <c r="C817" s="932"/>
      <c r="D817" s="932"/>
      <c r="E817" s="932"/>
      <c r="F817" s="932"/>
      <c r="G817" s="933"/>
      <c r="H817" s="807" t="s">
        <v>666</v>
      </c>
      <c r="I817" s="807" t="s">
        <v>666</v>
      </c>
    </row>
    <row r="818" spans="1:9" ht="13" x14ac:dyDescent="0.3">
      <c r="A818" s="91"/>
      <c r="B818" s="74" t="s">
        <v>1</v>
      </c>
      <c r="C818" s="74"/>
      <c r="D818" s="74"/>
      <c r="E818" s="74"/>
      <c r="F818" s="74"/>
      <c r="G818" s="74"/>
      <c r="H818" s="74"/>
      <c r="I818" s="74"/>
    </row>
    <row r="819" spans="1:9" ht="13" x14ac:dyDescent="0.3">
      <c r="A819" s="91"/>
      <c r="B819" s="74"/>
      <c r="C819" s="74"/>
      <c r="D819" s="74"/>
      <c r="E819" s="74"/>
      <c r="F819" s="74"/>
      <c r="G819" s="74"/>
      <c r="H819" s="103" t="str">
        <f>+'Unit tariffs'!$F$11</f>
        <v>2026/2027</v>
      </c>
      <c r="I819" s="103" t="str">
        <f>+'Unit tariffs'!$F$11</f>
        <v>2026/2027</v>
      </c>
    </row>
    <row r="820" spans="1:9" ht="13" x14ac:dyDescent="0.3">
      <c r="A820" s="91"/>
      <c r="B820" s="104" t="s">
        <v>117</v>
      </c>
      <c r="C820" s="74"/>
      <c r="D820" s="74"/>
      <c r="E820" s="74"/>
      <c r="F820" s="74"/>
      <c r="G820" s="74"/>
      <c r="H820" s="76"/>
      <c r="I820" s="76"/>
    </row>
    <row r="821" spans="1:9" ht="13" x14ac:dyDescent="0.3">
      <c r="A821" s="91"/>
      <c r="B821" s="74" t="s">
        <v>118</v>
      </c>
      <c r="C821" s="74"/>
      <c r="D821" s="74"/>
      <c r="E821" s="74"/>
      <c r="F821" s="74"/>
      <c r="G821" s="74"/>
    </row>
    <row r="822" spans="1:9" ht="13" x14ac:dyDescent="0.3">
      <c r="A822" s="91"/>
      <c r="B822" s="74">
        <v>2.5</v>
      </c>
      <c r="C822" s="74" t="str">
        <f>'Unit tariffs'!B$133</f>
        <v>Secondary Backbone - LV Urban</v>
      </c>
      <c r="D822" s="74"/>
      <c r="E822" s="74"/>
      <c r="F822" s="74" t="str">
        <f>'Unit tariffs'!C$132</f>
        <v>per kVA</v>
      </c>
      <c r="G822" s="74"/>
      <c r="H822" s="76">
        <f>VLOOKUP($C822,'Unit tariffs'!$B$21:$F$158,5,FALSE)*$B822</f>
        <v>3090.700932684751</v>
      </c>
      <c r="I822" s="76">
        <f>VLOOKUP($C822,'Unit tariffs'!$B$21:$F$158,5,FALSE)*$B822</f>
        <v>3090.700932684751</v>
      </c>
    </row>
    <row r="823" spans="1:9" ht="13" x14ac:dyDescent="0.3">
      <c r="A823" s="91"/>
      <c r="B823" s="74">
        <v>2.5</v>
      </c>
      <c r="C823" s="74" t="str">
        <f>'Unit tariffs'!B$134</f>
        <v>LV Backbone -Urban</v>
      </c>
      <c r="D823" s="74"/>
      <c r="E823" s="74"/>
      <c r="F823" s="74" t="str">
        <f>'Unit tariffs'!C$133</f>
        <v>per kVA</v>
      </c>
      <c r="G823" s="74"/>
      <c r="H823" s="81">
        <f>VLOOKUP($C823,'Unit tariffs'!$B$21:$F$158,5,FALSE)*$B823</f>
        <v>1285.6643208255</v>
      </c>
      <c r="I823" s="81">
        <f>VLOOKUP($C823,'Unit tariffs'!$B$21:$F$158,5,FALSE)*$B823</f>
        <v>1285.6643208255</v>
      </c>
    </row>
    <row r="824" spans="1:9" ht="13" x14ac:dyDescent="0.3">
      <c r="A824" s="91"/>
      <c r="B824" s="74"/>
      <c r="C824" s="74"/>
      <c r="D824" s="74"/>
      <c r="E824" s="74"/>
      <c r="F824" s="74"/>
      <c r="G824" s="74"/>
      <c r="H824" s="76">
        <f>SUM(H822:H823)</f>
        <v>4376.365253510251</v>
      </c>
      <c r="I824" s="76">
        <f>SUM(I822:I823)</f>
        <v>4376.365253510251</v>
      </c>
    </row>
    <row r="825" spans="1:9" ht="13" x14ac:dyDescent="0.3">
      <c r="A825" s="91"/>
      <c r="B825" s="104" t="s">
        <v>41</v>
      </c>
      <c r="C825" s="74"/>
      <c r="D825" s="74"/>
      <c r="E825" s="74"/>
      <c r="F825" s="74"/>
      <c r="G825" s="74"/>
      <c r="H825" s="76"/>
      <c r="I825" s="76"/>
    </row>
    <row r="826" spans="1:9" ht="14.5" x14ac:dyDescent="0.35">
      <c r="A826" s="91"/>
      <c r="B826" s="74">
        <v>1</v>
      </c>
      <c r="C826" s="705" t="str">
        <f>'Unit tariffs'!B46</f>
        <v>METER: TIME OF USE 100 AMP</v>
      </c>
      <c r="D826" s="74"/>
      <c r="E826" s="74"/>
      <c r="F826" s="74"/>
      <c r="G826" s="74"/>
      <c r="H826" s="76">
        <f>VLOOKUP($C826,'Unit tariffs'!$B$21:$F$123,5,FALSE)*$B826</f>
        <v>0</v>
      </c>
      <c r="I826" s="76">
        <f>VLOOKUP($C826,'Unit tariffs'!$B$21:$F$123,5,FALSE)*$B826</f>
        <v>0</v>
      </c>
    </row>
    <row r="827" spans="1:9" ht="13" x14ac:dyDescent="0.3">
      <c r="A827" s="91"/>
      <c r="B827" s="74">
        <v>0</v>
      </c>
      <c r="C827" s="74" t="str">
        <f>+'Unit tariffs'!B47</f>
        <v>Modum for TOU meter</v>
      </c>
      <c r="D827" s="74"/>
      <c r="E827" s="74"/>
      <c r="F827" s="74"/>
      <c r="G827" s="74"/>
      <c r="H827" s="76">
        <f>VLOOKUP($C827,'Unit tariffs'!$B$21:$F$123,5,FALSE)*$B827</f>
        <v>0</v>
      </c>
      <c r="I827" s="76">
        <f>VLOOKUP($C827,'Unit tariffs'!$B$21:$F$123,5,FALSE)*$B827</f>
        <v>0</v>
      </c>
    </row>
    <row r="828" spans="1:9" ht="13" x14ac:dyDescent="0.3">
      <c r="A828" s="91"/>
      <c r="B828" s="74">
        <v>3</v>
      </c>
      <c r="C828" s="74" t="str">
        <f>'Unit tariffs'!B43</f>
        <v>x 80 A circuit breaker (5kA) - Orange</v>
      </c>
      <c r="D828" s="74"/>
      <c r="E828" s="74"/>
      <c r="F828" s="74"/>
      <c r="G828" s="74"/>
      <c r="H828" s="76">
        <f>VLOOKUP($C828,'Unit tariffs'!$B$21:$F$123,5,FALSE)*$B828</f>
        <v>0</v>
      </c>
      <c r="I828" s="76">
        <f>VLOOKUP($C828,'Unit tariffs'!$B$21:$F$123,5,FALSE)*$B828</f>
        <v>0</v>
      </c>
    </row>
    <row r="829" spans="1:9" ht="13" x14ac:dyDescent="0.3">
      <c r="A829" s="91"/>
      <c r="B829" s="74">
        <v>1</v>
      </c>
      <c r="C829" s="74" t="str">
        <f>'Unit tariffs'!B21</f>
        <v>Installation material</v>
      </c>
      <c r="D829" s="74"/>
      <c r="E829" s="74"/>
      <c r="F829" s="74"/>
      <c r="G829" s="74"/>
      <c r="H829" s="81">
        <f>VLOOKUP($C829,'Unit tariffs'!$B$21:$F$123,5,FALSE)*$B829</f>
        <v>282.48325</v>
      </c>
      <c r="I829" s="81">
        <f>VLOOKUP($C829,'Unit tariffs'!$B$21:$F$123,5,FALSE)*$B829</f>
        <v>282.48325</v>
      </c>
    </row>
    <row r="830" spans="1:9" ht="13" x14ac:dyDescent="0.3">
      <c r="A830" s="91"/>
      <c r="B830" s="74"/>
      <c r="C830" s="74"/>
      <c r="D830" s="74"/>
      <c r="E830" s="74"/>
      <c r="F830" s="74"/>
      <c r="G830" s="76"/>
      <c r="H830" s="76">
        <f>SUM(H826:H829)</f>
        <v>282.48325</v>
      </c>
      <c r="I830" s="76">
        <f>SUM(I826:I829)</f>
        <v>282.48325</v>
      </c>
    </row>
    <row r="831" spans="1:9" ht="13" x14ac:dyDescent="0.3">
      <c r="A831" s="91"/>
      <c r="B831" s="104" t="s">
        <v>42</v>
      </c>
      <c r="C831" s="74"/>
      <c r="D831" s="74"/>
      <c r="E831" s="74"/>
      <c r="F831" s="74"/>
      <c r="G831" s="74"/>
      <c r="H831" s="74"/>
      <c r="I831" s="74"/>
    </row>
    <row r="832" spans="1:9" ht="13" x14ac:dyDescent="0.3">
      <c r="A832" s="91"/>
      <c r="B832" s="74">
        <v>2</v>
      </c>
      <c r="C832" s="74" t="str">
        <f>'Unit tariffs'!B$87</f>
        <v xml:space="preserve">hour-artisan </v>
      </c>
      <c r="D832" s="74"/>
      <c r="E832" s="74"/>
      <c r="F832" s="74"/>
      <c r="G832" s="74"/>
      <c r="H832" s="76">
        <f>VLOOKUP($C832,'Unit tariffs'!$B$21:$F$123,5,FALSE)*$B832</f>
        <v>702.38553230769242</v>
      </c>
      <c r="I832" s="76">
        <f>VLOOKUP($C832,'Unit tariffs'!$B$21:$F$123,5,FALSE)*$B832</f>
        <v>702.38553230769242</v>
      </c>
    </row>
    <row r="833" spans="1:9" ht="13" x14ac:dyDescent="0.3">
      <c r="A833" s="91"/>
      <c r="B833" s="74">
        <f>+B832*1</f>
        <v>2</v>
      </c>
      <c r="C833" s="74" t="str">
        <f>'Unit tariffs'!B$85</f>
        <v>hour-artisan assistant</v>
      </c>
      <c r="D833" s="74"/>
      <c r="E833" s="74"/>
      <c r="F833" s="74"/>
      <c r="G833" s="74"/>
      <c r="H833" s="81">
        <f>VLOOKUP($C833,'Unit tariffs'!$B$21:$F$123,5,FALSE)*$B833</f>
        <v>279.64851692307695</v>
      </c>
      <c r="I833" s="81">
        <f>VLOOKUP($C833,'Unit tariffs'!$B$21:$F$123,5,FALSE)*$B833</f>
        <v>279.64851692307695</v>
      </c>
    </row>
    <row r="834" spans="1:9" ht="13" x14ac:dyDescent="0.3">
      <c r="A834" s="91"/>
      <c r="B834" s="74"/>
      <c r="C834" s="74"/>
      <c r="D834" s="74"/>
      <c r="E834" s="74"/>
      <c r="F834" s="74"/>
      <c r="G834" s="74"/>
      <c r="H834" s="76">
        <f>SUM(H832:I833)</f>
        <v>1964.0680984615387</v>
      </c>
      <c r="I834" s="76">
        <f>SUM(I832:J833)</f>
        <v>982.03404923076937</v>
      </c>
    </row>
    <row r="835" spans="1:9" ht="13" x14ac:dyDescent="0.3">
      <c r="A835" s="91"/>
      <c r="B835" s="104" t="s">
        <v>43</v>
      </c>
      <c r="C835" s="74"/>
      <c r="D835" s="74"/>
      <c r="E835" s="74"/>
      <c r="F835" s="74"/>
      <c r="G835" s="74"/>
      <c r="H835" s="74"/>
      <c r="I835" s="74"/>
    </row>
    <row r="836" spans="1:9" ht="13" x14ac:dyDescent="0.3">
      <c r="A836" s="91"/>
      <c r="B836" s="74">
        <v>24</v>
      </c>
      <c r="C836" s="74" t="str">
        <f>'Unit tariffs'!B$111</f>
        <v>km-truck with platform</v>
      </c>
      <c r="D836" s="74"/>
      <c r="E836" s="74"/>
      <c r="F836" s="74"/>
      <c r="G836" s="74"/>
      <c r="H836" s="76">
        <f>VLOOKUP($C836,'Unit tariffs'!$B$21:$F$123,5,FALSE)*$B836</f>
        <v>1182.7997218118533</v>
      </c>
      <c r="I836" s="76">
        <f>VLOOKUP($C836,'Unit tariffs'!$B$21:$F$123,5,FALSE)*$B836</f>
        <v>1182.7997218118533</v>
      </c>
    </row>
    <row r="837" spans="1:9" ht="13" x14ac:dyDescent="0.3">
      <c r="A837" s="91"/>
      <c r="B837" s="74">
        <f>+B832</f>
        <v>2</v>
      </c>
      <c r="C837" s="74" t="str">
        <f>'Unit tariffs'!B$112</f>
        <v>hour-truck with platform</v>
      </c>
      <c r="D837" s="74"/>
      <c r="E837" s="74"/>
      <c r="F837" s="74"/>
      <c r="G837" s="74"/>
      <c r="H837" s="76">
        <f>VLOOKUP($C837,'Unit tariffs'!$B$21:$F$123,5,FALSE)*$B837</f>
        <v>479.6862409925584</v>
      </c>
      <c r="I837" s="76">
        <f>VLOOKUP($C837,'Unit tariffs'!$B$21:$F$123,5,FALSE)*$B837</f>
        <v>479.6862409925584</v>
      </c>
    </row>
    <row r="838" spans="1:9" ht="13" x14ac:dyDescent="0.3">
      <c r="A838" s="91"/>
      <c r="B838" s="74"/>
      <c r="C838" s="74"/>
      <c r="D838" s="74"/>
      <c r="E838" s="74"/>
      <c r="F838" s="74"/>
      <c r="G838" s="74"/>
      <c r="H838" s="137">
        <f>SUM(H836:H837)</f>
        <v>1662.4859628044117</v>
      </c>
      <c r="I838" s="137">
        <f>SUM(I836:I837)</f>
        <v>1662.4859628044117</v>
      </c>
    </row>
    <row r="839" spans="1:9" ht="13" x14ac:dyDescent="0.3">
      <c r="A839" s="91"/>
    </row>
    <row r="840" spans="1:9" ht="13" x14ac:dyDescent="0.3">
      <c r="A840" s="91"/>
    </row>
    <row r="841" spans="1:9" ht="13" x14ac:dyDescent="0.3">
      <c r="A841" s="91"/>
      <c r="B841" s="74"/>
      <c r="C841" s="74"/>
      <c r="D841" s="74"/>
      <c r="E841" s="74"/>
      <c r="F841" s="74"/>
      <c r="G841" s="76"/>
      <c r="H841" s="76">
        <f>+H838+H834+H830+H824</f>
        <v>8285.4025647762028</v>
      </c>
      <c r="I841" s="76">
        <f>+I838+I834+I830+I824</f>
        <v>7303.3685155454323</v>
      </c>
    </row>
    <row r="842" spans="1:9" ht="13.5" thickBot="1" x14ac:dyDescent="0.35">
      <c r="A842" s="91"/>
      <c r="B842" s="104" t="str">
        <f>'Unit tariffs'!$B$7</f>
        <v>Administration Levy (Indirect Cost)</v>
      </c>
      <c r="C842" s="74"/>
      <c r="D842" s="106">
        <f>'Unit tariffs'!$C$7</f>
        <v>0.1</v>
      </c>
      <c r="E842" s="74" t="s">
        <v>311</v>
      </c>
      <c r="F842" s="186">
        <f>+'Unit tariffs'!$F$7</f>
        <v>10000</v>
      </c>
      <c r="G842" s="76"/>
      <c r="H842" s="108">
        <f>IF(H841*$D842&gt;='Unit tariffs'!$E$7,'Unit tariffs'!$E$7,H841*$D842)</f>
        <v>828.54025647762035</v>
      </c>
      <c r="I842" s="108">
        <f>IF(I841*$D842&gt;='Unit tariffs'!$E$7,'Unit tariffs'!$E$7,I841*$D842)</f>
        <v>730.33685155454327</v>
      </c>
    </row>
    <row r="843" spans="1:9" ht="13.5" thickTop="1" x14ac:dyDescent="0.3">
      <c r="A843" s="91"/>
      <c r="B843" s="104" t="s">
        <v>44</v>
      </c>
      <c r="C843" s="74"/>
      <c r="D843" s="74"/>
      <c r="E843" s="74"/>
      <c r="F843" s="74"/>
      <c r="G843" s="76"/>
      <c r="H843" s="109">
        <f>SUM(H841:H842)</f>
        <v>9113.9428212538223</v>
      </c>
      <c r="I843" s="109">
        <f>SUM(I841:I842)</f>
        <v>8033.7053670999758</v>
      </c>
    </row>
    <row r="844" spans="1:9" ht="13" x14ac:dyDescent="0.3">
      <c r="A844" s="91"/>
      <c r="B844" s="104"/>
      <c r="C844" s="74"/>
      <c r="D844" s="74"/>
      <c r="E844" s="74"/>
      <c r="F844" s="74"/>
      <c r="G844" s="76"/>
      <c r="H844" s="74"/>
      <c r="I844" s="74"/>
    </row>
    <row r="845" spans="1:9" ht="13" x14ac:dyDescent="0.3">
      <c r="A845" s="91"/>
      <c r="B845" s="104" t="s">
        <v>45</v>
      </c>
      <c r="C845" s="74"/>
      <c r="D845" s="74"/>
      <c r="E845" s="74"/>
      <c r="F845" s="74"/>
      <c r="G845" s="84">
        <v>8130</v>
      </c>
      <c r="H845" s="84">
        <f>ROUND(H843,-1)</f>
        <v>9110</v>
      </c>
      <c r="I845" s="84">
        <f>ROUND(I843,-1)</f>
        <v>8030</v>
      </c>
    </row>
    <row r="846" spans="1:9" ht="13" x14ac:dyDescent="0.3">
      <c r="A846" s="74"/>
      <c r="B846" s="74"/>
      <c r="C846" s="74"/>
      <c r="D846" s="74"/>
      <c r="E846" s="74"/>
      <c r="F846" s="74"/>
      <c r="G846" s="74"/>
      <c r="H846" s="76"/>
      <c r="I846" s="76"/>
    </row>
    <row r="847" spans="1:9" ht="13" x14ac:dyDescent="0.3">
      <c r="A847" s="74"/>
      <c r="B847" s="74"/>
      <c r="C847" s="74"/>
      <c r="D847" s="74"/>
      <c r="E847" s="74"/>
      <c r="F847" s="74"/>
      <c r="G847" s="74"/>
      <c r="H847" s="112">
        <f>(+H845-G845)/G845</f>
        <v>0.12054120541205413</v>
      </c>
      <c r="I847" s="112">
        <f>(+I845-H845)/H845</f>
        <v>-0.11855104281009879</v>
      </c>
    </row>
    <row r="848" spans="1:9" ht="13" x14ac:dyDescent="0.3">
      <c r="A848" s="74"/>
      <c r="B848" s="74"/>
      <c r="C848" s="74"/>
      <c r="D848" s="74"/>
      <c r="E848" s="74"/>
      <c r="F848" s="74"/>
      <c r="G848" s="74"/>
      <c r="H848" s="112"/>
      <c r="I848" s="112"/>
    </row>
    <row r="849" spans="1:9" ht="13" thickBot="1" x14ac:dyDescent="0.3">
      <c r="A849" s="717"/>
      <c r="B849" s="717"/>
      <c r="C849" s="717"/>
      <c r="D849" s="717"/>
      <c r="E849" s="717"/>
      <c r="F849" s="717"/>
      <c r="G849" s="717"/>
      <c r="H849" s="717"/>
      <c r="I849" s="717"/>
    </row>
    <row r="850" spans="1:9" ht="13" thickTop="1" x14ac:dyDescent="0.25"/>
    <row r="853" spans="1:9" ht="31" customHeight="1" x14ac:dyDescent="0.3">
      <c r="A853" s="91"/>
      <c r="B853" s="931" t="s">
        <v>654</v>
      </c>
      <c r="C853" s="932"/>
      <c r="D853" s="932"/>
      <c r="E853" s="932"/>
      <c r="F853" s="932"/>
      <c r="G853" s="933"/>
      <c r="H853" s="810" t="s">
        <v>665</v>
      </c>
      <c r="I853" s="810" t="s">
        <v>665</v>
      </c>
    </row>
    <row r="854" spans="1:9" ht="13" x14ac:dyDescent="0.3">
      <c r="A854" s="91"/>
      <c r="B854" s="74" t="s">
        <v>1</v>
      </c>
      <c r="C854" s="74"/>
      <c r="D854" s="74"/>
      <c r="E854" s="74"/>
      <c r="F854" s="74"/>
      <c r="G854" s="74"/>
      <c r="H854" s="74"/>
      <c r="I854" s="74"/>
    </row>
    <row r="855" spans="1:9" ht="13" x14ac:dyDescent="0.3">
      <c r="A855" s="91"/>
      <c r="B855" s="74"/>
      <c r="C855" s="74"/>
      <c r="D855" s="74"/>
      <c r="E855" s="74"/>
      <c r="F855" s="74"/>
      <c r="G855" s="74"/>
      <c r="H855" s="128"/>
      <c r="I855" s="128"/>
    </row>
    <row r="856" spans="1:9" ht="13" x14ac:dyDescent="0.3">
      <c r="A856" s="91"/>
      <c r="B856" s="74" t="s">
        <v>1</v>
      </c>
      <c r="C856" s="74"/>
      <c r="D856" s="74"/>
      <c r="E856" s="74"/>
      <c r="F856" s="74"/>
      <c r="G856" s="74"/>
      <c r="H856" s="74"/>
      <c r="I856" s="74"/>
    </row>
    <row r="857" spans="1:9" ht="13" x14ac:dyDescent="0.3">
      <c r="A857" s="91"/>
      <c r="B857" s="74"/>
      <c r="C857" s="74"/>
      <c r="D857" s="74"/>
      <c r="E857" s="74"/>
      <c r="F857" s="74"/>
      <c r="G857" s="74"/>
      <c r="H857" s="103" t="str">
        <f>+'Unit tariffs'!$F$11</f>
        <v>2026/2027</v>
      </c>
      <c r="I857" s="103" t="str">
        <f>+'Unit tariffs'!$F$11</f>
        <v>2026/2027</v>
      </c>
    </row>
    <row r="858" spans="1:9" ht="13" x14ac:dyDescent="0.3">
      <c r="A858" s="91"/>
      <c r="B858" s="104" t="s">
        <v>117</v>
      </c>
      <c r="C858" s="74"/>
      <c r="D858" s="74"/>
      <c r="E858" s="74"/>
      <c r="F858" s="74"/>
      <c r="G858" s="74"/>
      <c r="H858" s="74"/>
      <c r="I858" s="74"/>
    </row>
    <row r="859" spans="1:9" ht="13" x14ac:dyDescent="0.3">
      <c r="A859" s="91"/>
      <c r="B859" s="74" t="s">
        <v>118</v>
      </c>
      <c r="C859" s="74"/>
      <c r="D859" s="74"/>
      <c r="E859" s="74"/>
      <c r="F859" s="74"/>
      <c r="G859" s="74"/>
      <c r="H859" s="74"/>
      <c r="I859" s="74"/>
    </row>
    <row r="860" spans="1:9" ht="13" x14ac:dyDescent="0.3">
      <c r="A860" s="91"/>
      <c r="B860" s="74">
        <v>2.5</v>
      </c>
      <c r="C860" s="74" t="str">
        <f>'Unit tariffs'!B$131</f>
        <v>Primary Backbone - Urban</v>
      </c>
      <c r="D860" s="74"/>
      <c r="E860" s="74"/>
      <c r="F860" s="74" t="str">
        <f>'Unit tariffs'!C$131</f>
        <v>per kVA</v>
      </c>
      <c r="G860" s="74"/>
      <c r="H860" s="76">
        <f>VLOOKUP($C860,'Unit tariffs'!$B$21:$F$155,5,FALSE)*$B860</f>
        <v>3588.7446084105004</v>
      </c>
      <c r="I860" s="76">
        <f>VLOOKUP($C860,'Unit tariffs'!$B$21:$F$155,5,FALSE)*$B860</f>
        <v>3588.7446084105004</v>
      </c>
    </row>
    <row r="861" spans="1:9" ht="13" x14ac:dyDescent="0.3">
      <c r="A861" s="91"/>
      <c r="B861" s="74">
        <v>2.5</v>
      </c>
      <c r="C861" s="74" t="str">
        <f>'Unit tariffs'!B$133</f>
        <v>Secondary Backbone - LV Urban</v>
      </c>
      <c r="D861" s="74"/>
      <c r="E861" s="74"/>
      <c r="F861" s="74" t="str">
        <f>'Unit tariffs'!C$132</f>
        <v>per kVA</v>
      </c>
      <c r="G861" s="74"/>
      <c r="H861" s="76">
        <f>VLOOKUP($C861,'Unit tariffs'!$B$21:$F$155,5,FALSE)*$B861</f>
        <v>3090.700932684751</v>
      </c>
      <c r="I861" s="76">
        <f>VLOOKUP($C861,'Unit tariffs'!$B$21:$F$155,5,FALSE)*$B861</f>
        <v>3090.700932684751</v>
      </c>
    </row>
    <row r="862" spans="1:9" ht="13" x14ac:dyDescent="0.3">
      <c r="A862" s="91"/>
      <c r="B862" s="74">
        <v>2.5</v>
      </c>
      <c r="C862" s="74" t="str">
        <f>'Unit tariffs'!B$134</f>
        <v>LV Backbone -Urban</v>
      </c>
      <c r="D862" s="74"/>
      <c r="E862" s="74"/>
      <c r="F862" s="74" t="str">
        <f>'Unit tariffs'!C$133</f>
        <v>per kVA</v>
      </c>
      <c r="G862" s="74"/>
      <c r="H862" s="81">
        <f>VLOOKUP($C862,'Unit tariffs'!$B$21:$F$155,5,FALSE)*$B862</f>
        <v>1285.6643208255</v>
      </c>
      <c r="I862" s="81">
        <f>VLOOKUP($C862,'Unit tariffs'!$B$21:$F$155,5,FALSE)*$B862</f>
        <v>1285.6643208255</v>
      </c>
    </row>
    <row r="863" spans="1:9" ht="13" x14ac:dyDescent="0.3">
      <c r="A863" s="91"/>
      <c r="B863" s="74"/>
      <c r="C863" s="74"/>
      <c r="D863" s="74"/>
      <c r="E863" s="74"/>
      <c r="F863" s="74"/>
      <c r="G863" s="74"/>
      <c r="H863" s="76">
        <f>SUM(H860:H862)</f>
        <v>7965.1098619207514</v>
      </c>
      <c r="I863" s="76">
        <f>SUM(I860:I862)</f>
        <v>7965.1098619207514</v>
      </c>
    </row>
    <row r="864" spans="1:9" ht="13" x14ac:dyDescent="0.3">
      <c r="A864" s="91"/>
      <c r="B864" s="74"/>
      <c r="C864" s="74"/>
      <c r="D864" s="74"/>
      <c r="E864" s="74"/>
      <c r="F864" s="74"/>
      <c r="G864" s="74"/>
      <c r="H864" s="76"/>
      <c r="I864" s="76"/>
    </row>
    <row r="865" spans="1:9" ht="13" x14ac:dyDescent="0.3">
      <c r="A865" s="91"/>
      <c r="B865" s="104" t="s">
        <v>41</v>
      </c>
      <c r="C865" s="74"/>
      <c r="D865" s="74"/>
      <c r="E865" s="74"/>
      <c r="F865" s="74"/>
      <c r="G865" s="74"/>
      <c r="H865" s="76"/>
      <c r="I865" s="76"/>
    </row>
    <row r="866" spans="1:9" ht="14.5" x14ac:dyDescent="0.35">
      <c r="A866" s="91"/>
      <c r="B866" s="74">
        <v>1</v>
      </c>
      <c r="C866" s="705" t="str">
        <f>'Unit tariffs'!B46</f>
        <v>METER: TIME OF USE 100 AMP</v>
      </c>
      <c r="D866" s="74"/>
      <c r="E866" s="74"/>
      <c r="F866" s="74"/>
      <c r="G866" s="74"/>
      <c r="H866" s="76">
        <f>VLOOKUP($C866,'Unit tariffs'!$B$21:$F$123,5,FALSE)*$B866</f>
        <v>0</v>
      </c>
      <c r="I866" s="76">
        <f>VLOOKUP($C866,'Unit tariffs'!$B$21:$F$123,5,FALSE)*$B866</f>
        <v>0</v>
      </c>
    </row>
    <row r="867" spans="1:9" ht="13" x14ac:dyDescent="0.3">
      <c r="A867" s="91"/>
      <c r="B867" s="74">
        <v>0</v>
      </c>
      <c r="C867" s="74" t="str">
        <f>+'Unit tariffs'!B47</f>
        <v>Modum for TOU meter</v>
      </c>
      <c r="D867" s="74"/>
      <c r="E867" s="74"/>
      <c r="F867" s="74"/>
      <c r="G867" s="74"/>
      <c r="H867" s="76">
        <f>VLOOKUP($C867,'Unit tariffs'!$B$21:$F$123,5,FALSE)*$B867</f>
        <v>0</v>
      </c>
      <c r="I867" s="76">
        <f>VLOOKUP($C867,'Unit tariffs'!$B$21:$F$123,5,FALSE)*$B867</f>
        <v>0</v>
      </c>
    </row>
    <row r="868" spans="1:9" ht="13" x14ac:dyDescent="0.3">
      <c r="A868" s="91"/>
      <c r="B868" s="74">
        <v>3</v>
      </c>
      <c r="C868" s="74" t="str">
        <f>'Unit tariffs'!B43</f>
        <v>x 80 A circuit breaker (5kA) - Orange</v>
      </c>
      <c r="D868" s="74"/>
      <c r="E868" s="74"/>
      <c r="F868" s="74"/>
      <c r="G868" s="74"/>
      <c r="H868" s="76">
        <f>VLOOKUP($C868,'Unit tariffs'!$B$21:$F$123,5,FALSE)*$B868</f>
        <v>0</v>
      </c>
      <c r="I868" s="76">
        <f>VLOOKUP($C868,'Unit tariffs'!$B$21:$F$123,5,FALSE)*$B868</f>
        <v>0</v>
      </c>
    </row>
    <row r="869" spans="1:9" ht="13" x14ac:dyDescent="0.3">
      <c r="A869" s="91"/>
      <c r="B869" s="74">
        <v>1</v>
      </c>
      <c r="C869" s="74" t="str">
        <f>'Unit tariffs'!B21</f>
        <v>Installation material</v>
      </c>
      <c r="D869" s="74"/>
      <c r="E869" s="74"/>
      <c r="F869" s="74"/>
      <c r="G869" s="74"/>
      <c r="H869" s="81">
        <f>VLOOKUP($C869,'Unit tariffs'!$B$21:$F$123,5,FALSE)*$B869</f>
        <v>282.48325</v>
      </c>
      <c r="I869" s="81">
        <f>VLOOKUP($C869,'Unit tariffs'!$B$21:$F$123,5,FALSE)*$B869</f>
        <v>282.48325</v>
      </c>
    </row>
    <row r="870" spans="1:9" ht="13" x14ac:dyDescent="0.3">
      <c r="A870" s="91"/>
      <c r="B870" s="74"/>
      <c r="C870" s="74"/>
      <c r="D870" s="74"/>
      <c r="E870" s="74"/>
      <c r="F870" s="74"/>
      <c r="G870" s="76"/>
      <c r="H870" s="76">
        <f>SUM(H866:H869)</f>
        <v>282.48325</v>
      </c>
      <c r="I870" s="76">
        <f>SUM(I866:I869)</f>
        <v>282.48325</v>
      </c>
    </row>
    <row r="871" spans="1:9" ht="13" x14ac:dyDescent="0.3">
      <c r="A871" s="91"/>
      <c r="B871" s="74"/>
      <c r="C871" s="74"/>
      <c r="D871" s="74"/>
      <c r="E871" s="74"/>
      <c r="F871" s="74"/>
      <c r="G871" s="76"/>
      <c r="H871" s="76"/>
      <c r="I871" s="76"/>
    </row>
    <row r="872" spans="1:9" ht="13" x14ac:dyDescent="0.3">
      <c r="A872" s="91"/>
      <c r="B872" s="104" t="s">
        <v>42</v>
      </c>
      <c r="C872" s="74"/>
      <c r="D872" s="74"/>
      <c r="E872" s="74"/>
      <c r="F872" s="74"/>
      <c r="G872" s="74"/>
    </row>
    <row r="873" spans="1:9" ht="13" x14ac:dyDescent="0.3">
      <c r="A873" s="91"/>
      <c r="B873" s="74"/>
      <c r="C873" s="74"/>
      <c r="D873" s="74"/>
      <c r="E873" s="74"/>
      <c r="F873" s="74"/>
      <c r="G873" s="74"/>
    </row>
    <row r="874" spans="1:9" ht="13" x14ac:dyDescent="0.3">
      <c r="A874" s="91"/>
      <c r="B874" s="74">
        <v>2</v>
      </c>
      <c r="C874" s="74" t="str">
        <f>'Unit tariffs'!B$87</f>
        <v xml:space="preserve">hour-artisan </v>
      </c>
      <c r="D874" s="74"/>
      <c r="E874" s="74"/>
      <c r="F874" s="74"/>
      <c r="G874" s="74"/>
      <c r="H874" s="76">
        <f>VLOOKUP($C874,'Unit tariffs'!$B$21:$F$123,5,FALSE)*$B874</f>
        <v>702.38553230769242</v>
      </c>
      <c r="I874" s="76">
        <f>VLOOKUP($C874,'Unit tariffs'!$B$21:$F$123,5,FALSE)*$B874</f>
        <v>702.38553230769242</v>
      </c>
    </row>
    <row r="875" spans="1:9" ht="13" x14ac:dyDescent="0.3">
      <c r="A875" s="91"/>
      <c r="B875" s="74">
        <f>+B874*2</f>
        <v>4</v>
      </c>
      <c r="C875" s="74" t="str">
        <f>'Unit tariffs'!B$85</f>
        <v>hour-artisan assistant</v>
      </c>
      <c r="D875" s="74"/>
      <c r="E875" s="74"/>
      <c r="F875" s="74"/>
      <c r="G875" s="74"/>
      <c r="H875" s="81">
        <f>VLOOKUP($C875,'Unit tariffs'!$B$21:$F$123,5,FALSE)*$B875</f>
        <v>559.29703384615391</v>
      </c>
      <c r="I875" s="81">
        <f>VLOOKUP($C875,'Unit tariffs'!$B$21:$F$123,5,FALSE)*$B875</f>
        <v>559.29703384615391</v>
      </c>
    </row>
    <row r="876" spans="1:9" ht="13" x14ac:dyDescent="0.3">
      <c r="A876" s="91"/>
      <c r="B876" s="74"/>
      <c r="C876" s="74"/>
      <c r="D876" s="74"/>
      <c r="E876" s="74"/>
      <c r="F876" s="74"/>
      <c r="G876" s="74"/>
      <c r="H876" s="76">
        <f>SUM(H874:H875)</f>
        <v>1261.6825661538464</v>
      </c>
      <c r="I876" s="76">
        <f>SUM(I874:I875)</f>
        <v>1261.6825661538464</v>
      </c>
    </row>
    <row r="877" spans="1:9" ht="13" x14ac:dyDescent="0.3">
      <c r="A877" s="91"/>
      <c r="B877" s="104" t="s">
        <v>43</v>
      </c>
      <c r="C877" s="74"/>
      <c r="D877" s="74"/>
      <c r="E877" s="74"/>
      <c r="F877" s="74"/>
      <c r="G877" s="74"/>
    </row>
    <row r="878" spans="1:9" ht="13" x14ac:dyDescent="0.3">
      <c r="A878" s="91"/>
      <c r="B878" s="74"/>
      <c r="C878" s="74"/>
      <c r="D878" s="74"/>
      <c r="E878" s="74"/>
      <c r="F878" s="74"/>
      <c r="G878" s="74"/>
    </row>
    <row r="879" spans="1:9" ht="13" x14ac:dyDescent="0.3">
      <c r="A879" s="91"/>
      <c r="B879" s="74">
        <v>24</v>
      </c>
      <c r="C879" s="74" t="str">
        <f>'Unit tariffs'!B$111</f>
        <v>km-truck with platform</v>
      </c>
      <c r="D879" s="74"/>
      <c r="E879" s="74"/>
      <c r="F879" s="74"/>
      <c r="G879" s="74"/>
      <c r="H879" s="76">
        <f>VLOOKUP($C879,'Unit tariffs'!$B$21:$F$123,5,FALSE)*$B879</f>
        <v>1182.7997218118533</v>
      </c>
      <c r="I879" s="76">
        <f>VLOOKUP($C879,'Unit tariffs'!$B$21:$F$123,5,FALSE)*$B879</f>
        <v>1182.7997218118533</v>
      </c>
    </row>
    <row r="880" spans="1:9" ht="13" x14ac:dyDescent="0.3">
      <c r="A880" s="91"/>
      <c r="B880" s="74">
        <v>0.5</v>
      </c>
      <c r="C880" s="74" t="str">
        <f>'Unit tariffs'!B$112</f>
        <v>hour-truck with platform</v>
      </c>
      <c r="D880" s="74"/>
      <c r="E880" s="74"/>
      <c r="F880" s="74"/>
      <c r="G880" s="74"/>
      <c r="H880" s="76">
        <f>VLOOKUP($C880,'Unit tariffs'!$B$21:$F$123,5,FALSE)*$B880</f>
        <v>119.9215602481396</v>
      </c>
      <c r="I880" s="76">
        <f>VLOOKUP($C880,'Unit tariffs'!$B$21:$F$123,5,FALSE)*$B880</f>
        <v>119.9215602481396</v>
      </c>
    </row>
    <row r="881" spans="1:9" ht="13" x14ac:dyDescent="0.3">
      <c r="A881" s="91"/>
      <c r="B881" s="74"/>
      <c r="C881" s="74"/>
      <c r="D881" s="74"/>
      <c r="E881" s="74"/>
      <c r="F881" s="74"/>
      <c r="G881" s="74"/>
      <c r="H881" s="137">
        <f>SUM(H879:H880)</f>
        <v>1302.721282059993</v>
      </c>
      <c r="I881" s="137">
        <f>SUM(I879:I880)</f>
        <v>1302.721282059993</v>
      </c>
    </row>
    <row r="882" spans="1:9" ht="13" x14ac:dyDescent="0.3">
      <c r="A882" s="91"/>
      <c r="B882" s="74"/>
      <c r="C882" s="74"/>
      <c r="D882" s="74"/>
      <c r="E882" s="74"/>
      <c r="F882" s="74"/>
      <c r="G882" s="76"/>
    </row>
    <row r="883" spans="1:9" ht="13" x14ac:dyDescent="0.3">
      <c r="A883" s="91"/>
      <c r="G883" s="76"/>
    </row>
    <row r="884" spans="1:9" ht="13" x14ac:dyDescent="0.3">
      <c r="A884" s="91"/>
      <c r="B884" s="104" t="str">
        <f>'Unit tariffs'!$B$7</f>
        <v>Administration Levy (Indirect Cost)</v>
      </c>
      <c r="C884" s="74"/>
      <c r="D884" s="106">
        <f>'Unit tariffs'!$C$7</f>
        <v>0.1</v>
      </c>
      <c r="E884" s="74" t="s">
        <v>311</v>
      </c>
      <c r="F884" s="186">
        <f>+'Unit tariffs'!$F$7</f>
        <v>10000</v>
      </c>
      <c r="G884" s="76"/>
      <c r="H884" s="76">
        <f>+H881+H876+H870+H863</f>
        <v>10811.996960134591</v>
      </c>
      <c r="I884" s="76">
        <f>+I881+I876+I870+I863</f>
        <v>10811.996960134591</v>
      </c>
    </row>
    <row r="885" spans="1:9" ht="13.5" thickBot="1" x14ac:dyDescent="0.35">
      <c r="A885" s="91"/>
      <c r="B885" s="104" t="s">
        <v>44</v>
      </c>
      <c r="C885" s="74"/>
      <c r="D885" s="74"/>
      <c r="E885" s="74"/>
      <c r="F885" s="74"/>
      <c r="G885" s="76"/>
      <c r="H885" s="108">
        <f>IF(H884*$D884&gt;='Unit tariffs'!$E$7,'Unit tariffs'!$E$7,H884*$D884)</f>
        <v>1081.1996960134591</v>
      </c>
      <c r="I885" s="108">
        <f>IF(I884*$D884&gt;='Unit tariffs'!$E$7,'Unit tariffs'!$E$7,I884*$D884)</f>
        <v>1081.1996960134591</v>
      </c>
    </row>
    <row r="886" spans="1:9" ht="13.5" thickTop="1" x14ac:dyDescent="0.3">
      <c r="A886" s="91"/>
      <c r="B886" s="104"/>
      <c r="C886" s="74"/>
      <c r="D886" s="74"/>
      <c r="E886" s="74"/>
      <c r="F886" s="74"/>
      <c r="G886" s="74"/>
      <c r="H886" s="109">
        <f>SUM(H884:H885)</f>
        <v>11893.196656148049</v>
      </c>
      <c r="I886" s="109">
        <f>SUM(I884:I885)</f>
        <v>11893.196656148049</v>
      </c>
    </row>
    <row r="887" spans="1:9" ht="13" x14ac:dyDescent="0.3">
      <c r="A887" s="91"/>
      <c r="B887" s="104" t="s">
        <v>45</v>
      </c>
      <c r="C887" s="74"/>
      <c r="D887" s="74"/>
      <c r="E887" s="74"/>
      <c r="F887" s="74"/>
      <c r="G887" s="74"/>
      <c r="H887" s="74"/>
      <c r="I887" s="74"/>
    </row>
    <row r="888" spans="1:9" ht="13" x14ac:dyDescent="0.3">
      <c r="A888" s="91"/>
      <c r="B888" s="74"/>
      <c r="C888" s="74"/>
      <c r="D888" s="74"/>
      <c r="E888" s="74"/>
      <c r="F888" s="74"/>
      <c r="G888" s="74"/>
      <c r="H888" s="84">
        <f>ROUND(H886,-1)</f>
        <v>11890</v>
      </c>
      <c r="I888" s="84">
        <f>ROUND(I886,-1)</f>
        <v>11890</v>
      </c>
    </row>
    <row r="889" spans="1:9" ht="13" x14ac:dyDescent="0.3">
      <c r="A889" s="91"/>
      <c r="B889" s="74"/>
      <c r="C889" s="74"/>
      <c r="D889" s="74"/>
      <c r="E889" s="74"/>
      <c r="F889" s="74"/>
      <c r="G889" s="74"/>
      <c r="H889" s="76"/>
      <c r="I889" s="76"/>
    </row>
    <row r="890" spans="1:9" ht="13" x14ac:dyDescent="0.3">
      <c r="A890" s="91"/>
      <c r="B890" s="74"/>
      <c r="C890" s="74"/>
      <c r="D890" s="74"/>
      <c r="E890" s="74"/>
      <c r="F890" s="74"/>
      <c r="G890" s="74"/>
      <c r="H890" s="112" t="e">
        <f>(+H888-G888)/G888</f>
        <v>#DIV/0!</v>
      </c>
      <c r="I890" s="112">
        <f>(+I888-H888)/H888</f>
        <v>0</v>
      </c>
    </row>
    <row r="891" spans="1:9" ht="13" x14ac:dyDescent="0.3">
      <c r="A891" s="91"/>
      <c r="B891" s="74"/>
      <c r="C891" s="74"/>
      <c r="D891" s="74"/>
      <c r="E891" s="74"/>
      <c r="F891" s="74"/>
      <c r="G891" s="74"/>
      <c r="H891" s="112"/>
      <c r="I891" s="112"/>
    </row>
    <row r="892" spans="1:9" ht="13.5" thickBot="1" x14ac:dyDescent="0.35">
      <c r="A892" s="448"/>
      <c r="B892" s="123"/>
      <c r="C892" s="123"/>
      <c r="D892" s="123"/>
      <c r="E892" s="123"/>
      <c r="F892" s="123"/>
      <c r="G892" s="123"/>
      <c r="H892" s="123"/>
      <c r="I892" s="123"/>
    </row>
    <row r="893" spans="1:9" ht="13.5" thickTop="1" x14ac:dyDescent="0.3">
      <c r="A893" s="445"/>
      <c r="B893" s="134"/>
      <c r="C893" s="120"/>
      <c r="D893" s="120"/>
      <c r="E893" s="120" t="s">
        <v>1</v>
      </c>
      <c r="F893" s="120"/>
      <c r="G893" s="120"/>
      <c r="H893" s="120"/>
      <c r="I893" s="120"/>
    </row>
    <row r="894" spans="1:9" ht="26" customHeight="1" x14ac:dyDescent="0.3">
      <c r="A894" s="91"/>
      <c r="B894" s="931" t="s">
        <v>655</v>
      </c>
      <c r="C894" s="932"/>
      <c r="D894" s="932"/>
      <c r="E894" s="932"/>
      <c r="F894" s="932"/>
      <c r="G894" s="933"/>
      <c r="H894" s="810" t="s">
        <v>664</v>
      </c>
      <c r="I894" s="810" t="s">
        <v>664</v>
      </c>
    </row>
    <row r="895" spans="1:9" ht="13" x14ac:dyDescent="0.3">
      <c r="A895" s="91"/>
      <c r="B895" s="74" t="s">
        <v>1</v>
      </c>
      <c r="C895" s="74"/>
      <c r="D895" s="74"/>
      <c r="E895" s="74"/>
      <c r="F895" s="74"/>
      <c r="G895" s="74"/>
      <c r="H895" s="74"/>
      <c r="I895" s="74"/>
    </row>
    <row r="896" spans="1:9" ht="13" x14ac:dyDescent="0.3">
      <c r="A896" s="91"/>
      <c r="B896" s="74"/>
      <c r="C896" s="74"/>
      <c r="D896" s="74"/>
      <c r="E896" s="74"/>
      <c r="F896" s="74"/>
      <c r="G896" s="74"/>
      <c r="H896" s="103" t="str">
        <f>+'Unit tariffs'!$F$11</f>
        <v>2026/2027</v>
      </c>
      <c r="I896" s="103" t="str">
        <f>+'Unit tariffs'!$F$11</f>
        <v>2026/2027</v>
      </c>
    </row>
    <row r="897" spans="1:9" ht="13" x14ac:dyDescent="0.3">
      <c r="A897" s="91"/>
      <c r="B897" s="104" t="s">
        <v>117</v>
      </c>
      <c r="C897" s="74"/>
      <c r="D897" s="74"/>
      <c r="E897" s="74"/>
      <c r="F897" s="74"/>
      <c r="G897" s="74"/>
      <c r="H897" s="76"/>
      <c r="I897" s="76"/>
    </row>
    <row r="898" spans="1:9" ht="13" x14ac:dyDescent="0.3">
      <c r="A898" s="91"/>
      <c r="B898" s="74" t="s">
        <v>118</v>
      </c>
      <c r="C898" s="74"/>
      <c r="D898" s="74"/>
      <c r="E898" s="74"/>
      <c r="F898" s="74"/>
      <c r="G898" s="74"/>
    </row>
    <row r="899" spans="1:9" ht="13" x14ac:dyDescent="0.3">
      <c r="A899" s="91"/>
      <c r="B899" s="74">
        <v>2.5</v>
      </c>
      <c r="C899" s="74" t="str">
        <f>'Unit tariffs'!B$133</f>
        <v>Secondary Backbone - LV Urban</v>
      </c>
      <c r="D899" s="74"/>
      <c r="E899" s="74"/>
      <c r="F899" s="74" t="str">
        <f>'Unit tariffs'!C$132</f>
        <v>per kVA</v>
      </c>
      <c r="G899" s="74"/>
      <c r="H899" s="76">
        <f>VLOOKUP($C899,'Unit tariffs'!$B$21:$F$158,5,FALSE)*$B899</f>
        <v>3090.700932684751</v>
      </c>
      <c r="I899" s="76">
        <f>VLOOKUP($C899,'Unit tariffs'!$B$21:$F$158,5,FALSE)*$B899</f>
        <v>3090.700932684751</v>
      </c>
    </row>
    <row r="900" spans="1:9" ht="13" x14ac:dyDescent="0.3">
      <c r="A900" s="91"/>
      <c r="B900" s="74">
        <v>2.5</v>
      </c>
      <c r="C900" s="74" t="str">
        <f>'Unit tariffs'!B$134</f>
        <v>LV Backbone -Urban</v>
      </c>
      <c r="D900" s="74"/>
      <c r="E900" s="74"/>
      <c r="F900" s="74" t="str">
        <f>'Unit tariffs'!C$133</f>
        <v>per kVA</v>
      </c>
      <c r="G900" s="74"/>
      <c r="H900" s="81">
        <f>VLOOKUP($C900,'Unit tariffs'!$B$21:$F$158,5,FALSE)*$B900</f>
        <v>1285.6643208255</v>
      </c>
      <c r="I900" s="81">
        <f>VLOOKUP($C900,'Unit tariffs'!$B$21:$F$158,5,FALSE)*$B900</f>
        <v>1285.6643208255</v>
      </c>
    </row>
    <row r="901" spans="1:9" ht="13" x14ac:dyDescent="0.3">
      <c r="A901" s="91"/>
      <c r="B901" s="74"/>
      <c r="C901" s="74"/>
      <c r="D901" s="74"/>
      <c r="E901" s="74"/>
      <c r="F901" s="74"/>
      <c r="G901" s="74"/>
      <c r="H901" s="76">
        <f>SUM(H899:H900)</f>
        <v>4376.365253510251</v>
      </c>
      <c r="I901" s="76">
        <f>SUM(I899:I900)</f>
        <v>4376.365253510251</v>
      </c>
    </row>
    <row r="902" spans="1:9" ht="13" x14ac:dyDescent="0.3">
      <c r="A902" s="91"/>
      <c r="B902" s="104" t="s">
        <v>41</v>
      </c>
      <c r="C902" s="74"/>
      <c r="D902" s="74"/>
      <c r="E902" s="74"/>
      <c r="F902" s="74"/>
      <c r="G902" s="74"/>
      <c r="H902" s="76"/>
      <c r="I902" s="76"/>
    </row>
    <row r="903" spans="1:9" ht="14.5" x14ac:dyDescent="0.35">
      <c r="A903" s="91"/>
      <c r="B903" s="74">
        <v>1</v>
      </c>
      <c r="C903" s="705" t="str">
        <f>'Unit tariffs'!B46</f>
        <v>METER: TIME OF USE 100 AMP</v>
      </c>
      <c r="D903" s="74"/>
      <c r="E903" s="74"/>
      <c r="F903" s="74"/>
      <c r="G903" s="74"/>
      <c r="H903" s="76">
        <f>VLOOKUP($C903,'Unit tariffs'!$B$21:$F$123,5,FALSE)*$B903</f>
        <v>0</v>
      </c>
      <c r="I903" s="76">
        <f>VLOOKUP($C903,'Unit tariffs'!$B$21:$F$123,5,FALSE)*$B903</f>
        <v>0</v>
      </c>
    </row>
    <row r="904" spans="1:9" ht="13" x14ac:dyDescent="0.3">
      <c r="A904" s="91"/>
      <c r="B904" s="74">
        <v>3</v>
      </c>
      <c r="C904" s="74" t="str">
        <f>'Unit tariffs'!B43</f>
        <v>x 80 A circuit breaker (5kA) - Orange</v>
      </c>
      <c r="D904" s="74"/>
      <c r="E904" s="74"/>
      <c r="F904" s="74"/>
      <c r="G904" s="74"/>
      <c r="H904" s="76">
        <f>VLOOKUP($C904,'Unit tariffs'!$B$21:$F$123,5,FALSE)*$B904</f>
        <v>0</v>
      </c>
      <c r="I904" s="76">
        <f>VLOOKUP($C904,'Unit tariffs'!$B$21:$F$123,5,FALSE)*$B904</f>
        <v>0</v>
      </c>
    </row>
    <row r="905" spans="1:9" ht="13" x14ac:dyDescent="0.3">
      <c r="A905" s="91"/>
      <c r="B905" s="74">
        <v>1</v>
      </c>
      <c r="C905" s="74" t="str">
        <f>'Unit tariffs'!B21</f>
        <v>Installation material</v>
      </c>
      <c r="D905" s="74"/>
      <c r="E905" s="74"/>
      <c r="F905" s="74"/>
      <c r="G905" s="74"/>
      <c r="H905" s="81">
        <f>VLOOKUP($C905,'Unit tariffs'!$B$21:$F$123,5,FALSE)*$B905</f>
        <v>282.48325</v>
      </c>
      <c r="I905" s="81">
        <f>VLOOKUP($C905,'Unit tariffs'!$B$21:$F$123,5,FALSE)*$B905</f>
        <v>282.48325</v>
      </c>
    </row>
    <row r="906" spans="1:9" ht="13" x14ac:dyDescent="0.3">
      <c r="A906" s="91"/>
      <c r="B906" s="74"/>
      <c r="C906" s="74"/>
      <c r="D906" s="74"/>
      <c r="E906" s="74"/>
      <c r="F906" s="74"/>
      <c r="G906" s="76"/>
      <c r="H906" s="76">
        <f>SUM(H903:H905)</f>
        <v>282.48325</v>
      </c>
      <c r="I906" s="76">
        <f>SUM(I903:I905)</f>
        <v>282.48325</v>
      </c>
    </row>
    <row r="907" spans="1:9" ht="13" x14ac:dyDescent="0.3">
      <c r="A907" s="91"/>
      <c r="B907" s="104" t="s">
        <v>42</v>
      </c>
      <c r="C907" s="74"/>
      <c r="D907" s="74"/>
      <c r="E907" s="74"/>
      <c r="F907" s="74"/>
      <c r="G907" s="74"/>
      <c r="H907" s="74"/>
      <c r="I907" s="74"/>
    </row>
    <row r="908" spans="1:9" ht="13" x14ac:dyDescent="0.3">
      <c r="A908" s="91"/>
      <c r="B908" s="74">
        <v>2</v>
      </c>
      <c r="C908" s="74" t="str">
        <f>'Unit tariffs'!B$87</f>
        <v xml:space="preserve">hour-artisan </v>
      </c>
      <c r="D908" s="74"/>
      <c r="E908" s="74"/>
      <c r="F908" s="74"/>
      <c r="G908" s="74"/>
      <c r="H908" s="76">
        <f>VLOOKUP($C908,'Unit tariffs'!$B$21:$F$123,5,FALSE)*$B908</f>
        <v>702.38553230769242</v>
      </c>
      <c r="I908" s="76">
        <f>VLOOKUP($C908,'Unit tariffs'!$B$21:$F$123,5,FALSE)*$B908</f>
        <v>702.38553230769242</v>
      </c>
    </row>
    <row r="909" spans="1:9" ht="13" x14ac:dyDescent="0.3">
      <c r="A909" s="91"/>
      <c r="B909" s="74">
        <f>+B908*1</f>
        <v>2</v>
      </c>
      <c r="C909" s="74" t="str">
        <f>'Unit tariffs'!B$85</f>
        <v>hour-artisan assistant</v>
      </c>
      <c r="D909" s="74"/>
      <c r="E909" s="74"/>
      <c r="F909" s="74"/>
      <c r="G909" s="74"/>
      <c r="H909" s="81">
        <f>VLOOKUP($C909,'Unit tariffs'!$B$21:$F$123,5,FALSE)*$B909</f>
        <v>279.64851692307695</v>
      </c>
      <c r="I909" s="81">
        <f>VLOOKUP($C909,'Unit tariffs'!$B$21:$F$123,5,FALSE)*$B909</f>
        <v>279.64851692307695</v>
      </c>
    </row>
    <row r="910" spans="1:9" ht="13" x14ac:dyDescent="0.3">
      <c r="A910" s="91"/>
      <c r="B910" s="74"/>
      <c r="C910" s="74"/>
      <c r="D910" s="74"/>
      <c r="E910" s="74"/>
      <c r="F910" s="74"/>
      <c r="G910" s="74"/>
      <c r="H910" s="76">
        <f>SUM(H908:I909)</f>
        <v>1964.0680984615387</v>
      </c>
      <c r="I910" s="76">
        <f>SUM(I908:J909)</f>
        <v>982.03404923076937</v>
      </c>
    </row>
    <row r="911" spans="1:9" ht="13" x14ac:dyDescent="0.3">
      <c r="A911" s="91"/>
      <c r="B911" s="104" t="s">
        <v>43</v>
      </c>
      <c r="C911" s="74"/>
      <c r="D911" s="74"/>
      <c r="E911" s="74"/>
      <c r="F911" s="74"/>
      <c r="G911" s="74"/>
      <c r="H911" s="74"/>
      <c r="I911" s="74"/>
    </row>
    <row r="912" spans="1:9" ht="13" x14ac:dyDescent="0.3">
      <c r="A912" s="91"/>
      <c r="B912" s="74">
        <v>24</v>
      </c>
      <c r="C912" s="74" t="str">
        <f>'Unit tariffs'!B$111</f>
        <v>km-truck with platform</v>
      </c>
      <c r="D912" s="74"/>
      <c r="E912" s="74"/>
      <c r="F912" s="74"/>
      <c r="G912" s="74"/>
      <c r="H912" s="76">
        <f>VLOOKUP($C912,'Unit tariffs'!$B$21:$F$123,5,FALSE)*$B912</f>
        <v>1182.7997218118533</v>
      </c>
      <c r="I912" s="76">
        <f>VLOOKUP($C912,'Unit tariffs'!$B$21:$F$123,5,FALSE)*$B912</f>
        <v>1182.7997218118533</v>
      </c>
    </row>
    <row r="913" spans="1:9" ht="13" x14ac:dyDescent="0.3">
      <c r="A913" s="91"/>
      <c r="B913" s="74">
        <f>+B908</f>
        <v>2</v>
      </c>
      <c r="C913" s="74" t="str">
        <f>'Unit tariffs'!B$112</f>
        <v>hour-truck with platform</v>
      </c>
      <c r="D913" s="74"/>
      <c r="E913" s="74"/>
      <c r="F913" s="74"/>
      <c r="G913" s="74"/>
      <c r="H913" s="76">
        <f>VLOOKUP($C913,'Unit tariffs'!$B$21:$F$123,5,FALSE)*$B913</f>
        <v>479.6862409925584</v>
      </c>
      <c r="I913" s="76">
        <f>VLOOKUP($C913,'Unit tariffs'!$B$21:$F$123,5,FALSE)*$B913</f>
        <v>479.6862409925584</v>
      </c>
    </row>
    <row r="914" spans="1:9" ht="13" x14ac:dyDescent="0.3">
      <c r="A914" s="91"/>
      <c r="B914" s="74"/>
      <c r="C914" s="74"/>
      <c r="D914" s="74"/>
      <c r="E914" s="74"/>
      <c r="F914" s="74"/>
      <c r="G914" s="74"/>
      <c r="H914" s="137">
        <f>SUM(H912:H913)</f>
        <v>1662.4859628044117</v>
      </c>
      <c r="I914" s="137">
        <f>SUM(I912:I913)</f>
        <v>1662.4859628044117</v>
      </c>
    </row>
    <row r="915" spans="1:9" ht="13" x14ac:dyDescent="0.3">
      <c r="A915" s="91"/>
    </row>
    <row r="916" spans="1:9" ht="13" x14ac:dyDescent="0.3">
      <c r="A916" s="91"/>
    </row>
    <row r="917" spans="1:9" ht="13" x14ac:dyDescent="0.3">
      <c r="A917" s="91"/>
      <c r="B917" s="74"/>
      <c r="C917" s="74"/>
      <c r="D917" s="74"/>
      <c r="E917" s="74"/>
      <c r="F917" s="74"/>
      <c r="G917" s="76"/>
      <c r="H917" s="76">
        <f>+H914+H910+H906+H901</f>
        <v>8285.4025647762028</v>
      </c>
      <c r="I917" s="76">
        <f>+I914+I910+I906+I901</f>
        <v>7303.3685155454323</v>
      </c>
    </row>
    <row r="918" spans="1:9" ht="13.5" thickBot="1" x14ac:dyDescent="0.35">
      <c r="A918" s="91"/>
      <c r="B918" s="104" t="str">
        <f>'Unit tariffs'!$B$7</f>
        <v>Administration Levy (Indirect Cost)</v>
      </c>
      <c r="C918" s="74"/>
      <c r="D918" s="106">
        <f>'Unit tariffs'!$C$7</f>
        <v>0.1</v>
      </c>
      <c r="E918" s="74" t="s">
        <v>311</v>
      </c>
      <c r="F918" s="186">
        <f>+'Unit tariffs'!$F$7</f>
        <v>10000</v>
      </c>
      <c r="G918" s="76"/>
      <c r="H918" s="108">
        <f>IF(H917*$D918&gt;='Unit tariffs'!$E$7,'Unit tariffs'!$E$7,H917*$D918)</f>
        <v>828.54025647762035</v>
      </c>
      <c r="I918" s="108">
        <f>IF(I917*$D918&gt;='Unit tariffs'!$E$7,'Unit tariffs'!$E$7,I917*$D918)</f>
        <v>730.33685155454327</v>
      </c>
    </row>
    <row r="919" spans="1:9" ht="13.5" thickTop="1" x14ac:dyDescent="0.3">
      <c r="A919" s="91"/>
      <c r="B919" s="104" t="s">
        <v>44</v>
      </c>
      <c r="C919" s="74"/>
      <c r="D919" s="74"/>
      <c r="E919" s="74"/>
      <c r="F919" s="74"/>
      <c r="G919" s="76"/>
      <c r="H919" s="109">
        <f>SUM(H917:H918)</f>
        <v>9113.9428212538223</v>
      </c>
      <c r="I919" s="109">
        <f>SUM(I917:I918)</f>
        <v>8033.7053670999758</v>
      </c>
    </row>
    <row r="920" spans="1:9" ht="13" x14ac:dyDescent="0.3">
      <c r="A920" s="91"/>
      <c r="B920" s="104"/>
      <c r="C920" s="74"/>
      <c r="D920" s="74"/>
      <c r="E920" s="74"/>
      <c r="F920" s="74"/>
      <c r="G920" s="76"/>
      <c r="H920" s="74"/>
      <c r="I920" s="74"/>
    </row>
    <row r="921" spans="1:9" ht="13" x14ac:dyDescent="0.3">
      <c r="A921" s="91"/>
      <c r="B921" s="104" t="s">
        <v>45</v>
      </c>
      <c r="C921" s="74"/>
      <c r="D921" s="74"/>
      <c r="E921" s="74"/>
      <c r="F921" s="74"/>
      <c r="G921" s="84">
        <v>8130</v>
      </c>
      <c r="H921" s="84">
        <f>ROUND(H919,-1)</f>
        <v>9110</v>
      </c>
      <c r="I921" s="84">
        <f>ROUND(I919,-1)</f>
        <v>8030</v>
      </c>
    </row>
    <row r="922" spans="1:9" ht="13" x14ac:dyDescent="0.3">
      <c r="B922" s="74"/>
      <c r="C922" s="74"/>
      <c r="D922" s="74"/>
      <c r="E922" s="74"/>
      <c r="F922" s="74"/>
      <c r="G922" s="74"/>
      <c r="H922" s="76"/>
      <c r="I922" s="76"/>
    </row>
    <row r="923" spans="1:9" ht="13" x14ac:dyDescent="0.3">
      <c r="B923" s="74"/>
      <c r="C923" s="74"/>
      <c r="D923" s="74"/>
      <c r="E923" s="74"/>
      <c r="F923" s="74"/>
      <c r="G923" s="74"/>
      <c r="H923" s="112">
        <f>(+H921-G921)/G921</f>
        <v>0.12054120541205413</v>
      </c>
      <c r="I923" s="112">
        <f>(+I921-H921)/H921</f>
        <v>-0.11855104281009879</v>
      </c>
    </row>
    <row r="924" spans="1:9" ht="13" thickBot="1" x14ac:dyDescent="0.3">
      <c r="A924" s="717"/>
      <c r="B924" s="717"/>
      <c r="C924" s="717"/>
      <c r="D924" s="717"/>
      <c r="E924" s="717"/>
      <c r="F924" s="717"/>
      <c r="G924" s="717"/>
      <c r="H924" s="717"/>
      <c r="I924" s="717"/>
    </row>
    <row r="925" spans="1:9" ht="13" thickTop="1" x14ac:dyDescent="0.25"/>
    <row r="926" spans="1:9" ht="24.25" customHeight="1" x14ac:dyDescent="0.3">
      <c r="A926" s="91"/>
      <c r="B926" s="931" t="s">
        <v>656</v>
      </c>
      <c r="C926" s="932"/>
      <c r="D926" s="932"/>
      <c r="E926" s="932"/>
      <c r="F926" s="932"/>
      <c r="G926" s="933"/>
      <c r="H926" s="810" t="s">
        <v>646</v>
      </c>
      <c r="I926" s="810" t="s">
        <v>646</v>
      </c>
    </row>
    <row r="927" spans="1:9" ht="13" x14ac:dyDescent="0.3">
      <c r="A927" s="91"/>
      <c r="B927" s="74" t="s">
        <v>1</v>
      </c>
      <c r="C927" s="74"/>
      <c r="D927" s="74"/>
      <c r="E927" s="74"/>
      <c r="F927" s="74"/>
      <c r="G927" s="74"/>
      <c r="H927" s="74"/>
      <c r="I927" s="74"/>
    </row>
    <row r="928" spans="1:9" ht="13" x14ac:dyDescent="0.3">
      <c r="A928" s="91"/>
      <c r="B928" s="74" t="s">
        <v>1</v>
      </c>
      <c r="C928" s="74"/>
      <c r="D928" s="74"/>
      <c r="E928" s="74"/>
      <c r="F928" s="74"/>
      <c r="G928" s="74"/>
      <c r="H928" s="103" t="str">
        <f>+'Unit tariffs'!$F$11</f>
        <v>2026/2027</v>
      </c>
      <c r="I928" s="103" t="str">
        <f>+'Unit tariffs'!$F$11</f>
        <v>2026/2027</v>
      </c>
    </row>
    <row r="929" spans="1:9" ht="13" x14ac:dyDescent="0.3">
      <c r="A929" s="91"/>
      <c r="B929" s="74"/>
      <c r="C929" s="74"/>
      <c r="D929" s="74"/>
      <c r="E929" s="74"/>
      <c r="F929" s="74"/>
      <c r="G929" s="74"/>
      <c r="H929" s="127"/>
      <c r="I929" s="127"/>
    </row>
    <row r="930" spans="1:9" ht="13" x14ac:dyDescent="0.3">
      <c r="A930" s="91"/>
      <c r="B930" s="74"/>
      <c r="C930" s="74"/>
      <c r="D930" s="74"/>
      <c r="E930" s="74"/>
      <c r="F930" s="74"/>
      <c r="G930" s="74"/>
    </row>
    <row r="931" spans="1:9" ht="13" x14ac:dyDescent="0.3">
      <c r="A931" s="91"/>
      <c r="B931" s="104" t="s">
        <v>117</v>
      </c>
      <c r="C931" s="74"/>
      <c r="D931" s="74"/>
      <c r="E931" s="74"/>
      <c r="F931" s="74"/>
      <c r="G931" s="74"/>
    </row>
    <row r="932" spans="1:9" ht="13" x14ac:dyDescent="0.3">
      <c r="A932" s="91"/>
      <c r="B932" s="104"/>
      <c r="C932" s="74"/>
      <c r="D932" s="74"/>
      <c r="E932" s="74"/>
      <c r="F932" s="74"/>
      <c r="G932" s="74"/>
      <c r="H932" s="128"/>
      <c r="I932" s="128"/>
    </row>
    <row r="933" spans="1:9" ht="13" x14ac:dyDescent="0.3">
      <c r="A933" s="91"/>
      <c r="B933" s="74">
        <v>2.5</v>
      </c>
      <c r="C933" s="74" t="str">
        <f>'Unit tariffs'!B131</f>
        <v>Primary Backbone - Urban</v>
      </c>
      <c r="D933" s="74"/>
      <c r="E933" s="74"/>
      <c r="F933" s="74" t="str">
        <f>'Unit tariffs'!C$132</f>
        <v>per kVA</v>
      </c>
      <c r="G933" s="74"/>
      <c r="H933" s="76">
        <f>VLOOKUP($C933,'Unit tariffs'!$B$21:$F$158,5,FALSE)*$B933</f>
        <v>3588.7446084105004</v>
      </c>
      <c r="I933" s="76">
        <f>VLOOKUP($C933,'Unit tariffs'!$B$21:$F$158,5,FALSE)*$B933</f>
        <v>3588.7446084105004</v>
      </c>
    </row>
    <row r="934" spans="1:9" ht="13" x14ac:dyDescent="0.3">
      <c r="A934" s="91"/>
      <c r="B934" s="74">
        <v>2.5</v>
      </c>
      <c r="C934" s="74" t="str">
        <f>'Unit tariffs'!B$133</f>
        <v>Secondary Backbone - LV Urban</v>
      </c>
      <c r="D934" s="74"/>
      <c r="E934" s="74"/>
      <c r="F934" s="74" t="str">
        <f>'Unit tariffs'!C$132</f>
        <v>per kVA</v>
      </c>
      <c r="G934" s="74"/>
      <c r="H934" s="76">
        <f>VLOOKUP($C934,'Unit tariffs'!$B$21:$F$158,5,FALSE)*$B934</f>
        <v>3090.700932684751</v>
      </c>
      <c r="I934" s="76">
        <f>VLOOKUP($C934,'Unit tariffs'!$B$21:$F$158,5,FALSE)*$B934</f>
        <v>3090.700932684751</v>
      </c>
    </row>
    <row r="935" spans="1:9" ht="13" x14ac:dyDescent="0.3">
      <c r="A935" s="91"/>
      <c r="B935" s="74">
        <v>2.5</v>
      </c>
      <c r="C935" s="74" t="str">
        <f>'Unit tariffs'!B$134</f>
        <v>LV Backbone -Urban</v>
      </c>
      <c r="D935" s="74"/>
      <c r="E935" s="74"/>
      <c r="F935" s="74" t="str">
        <f>'Unit tariffs'!C$133</f>
        <v>per kVA</v>
      </c>
      <c r="G935" s="74"/>
      <c r="H935" s="81">
        <f>VLOOKUP($C935,'Unit tariffs'!$B$21:$F$158,5,FALSE)*$B935</f>
        <v>1285.6643208255</v>
      </c>
      <c r="I935" s="81">
        <f>VLOOKUP($C935,'Unit tariffs'!$B$21:$F$158,5,FALSE)*$B935</f>
        <v>1285.6643208255</v>
      </c>
    </row>
    <row r="936" spans="1:9" ht="13" x14ac:dyDescent="0.3">
      <c r="A936" s="91"/>
      <c r="B936" s="74"/>
      <c r="C936" s="74"/>
      <c r="D936" s="74"/>
      <c r="E936" s="74"/>
      <c r="F936" s="74"/>
      <c r="G936" s="74"/>
      <c r="H936" s="76">
        <f>SUM(H933:H935)</f>
        <v>7965.1098619207514</v>
      </c>
      <c r="I936" s="76">
        <f>SUM(I933:I935)</f>
        <v>7965.1098619207514</v>
      </c>
    </row>
    <row r="937" spans="1:9" ht="13" x14ac:dyDescent="0.3">
      <c r="A937" s="91"/>
      <c r="B937" s="74"/>
      <c r="C937" s="74"/>
      <c r="D937" s="74"/>
      <c r="E937" s="74"/>
      <c r="F937" s="74"/>
      <c r="G937" s="74"/>
      <c r="H937" s="76"/>
      <c r="I937" s="76"/>
    </row>
    <row r="938" spans="1:9" ht="13" x14ac:dyDescent="0.3">
      <c r="A938" s="91"/>
      <c r="B938" s="104" t="s">
        <v>41</v>
      </c>
      <c r="C938" s="74"/>
      <c r="D938" s="74"/>
      <c r="E938" s="74"/>
      <c r="F938" s="74"/>
      <c r="G938" s="74"/>
      <c r="H938" s="74"/>
      <c r="I938" s="74"/>
    </row>
    <row r="939" spans="1:9" ht="13" x14ac:dyDescent="0.3">
      <c r="A939" s="91"/>
      <c r="B939" s="74"/>
      <c r="C939" s="74"/>
      <c r="D939" s="74"/>
      <c r="E939" s="74"/>
      <c r="F939" s="74"/>
      <c r="G939" s="74"/>
    </row>
    <row r="940" spans="1:9" ht="13" x14ac:dyDescent="0.3">
      <c r="A940" s="91"/>
      <c r="B940" s="74">
        <v>1</v>
      </c>
      <c r="C940" s="347" t="str">
        <f>'Unit tariffs'!B36</f>
        <v xml:space="preserve">Prepaid meter (Split) 3 phase - </v>
      </c>
      <c r="D940" s="74"/>
      <c r="E940" s="74"/>
      <c r="F940" s="74"/>
      <c r="G940" s="74"/>
      <c r="H940" s="189">
        <f>VLOOKUP($C940,'Unit tariffs'!$B$21:$F$123,5,FALSE)*$B940</f>
        <v>0</v>
      </c>
      <c r="I940" s="189">
        <f>VLOOKUP($C940,'Unit tariffs'!$B$21:$F$123,5,FALSE)*$B940</f>
        <v>0</v>
      </c>
    </row>
    <row r="941" spans="1:9" ht="13" x14ac:dyDescent="0.3">
      <c r="A941" s="91"/>
      <c r="B941" s="74">
        <v>3</v>
      </c>
      <c r="C941" s="74" t="str">
        <f>'Unit tariffs'!B43</f>
        <v>x 80 A circuit breaker (5kA) - Orange</v>
      </c>
      <c r="D941" s="74"/>
      <c r="E941" s="74"/>
      <c r="F941" s="74"/>
      <c r="G941" s="74"/>
      <c r="H941" s="76">
        <f>VLOOKUP($C941,'Unit tariffs'!$B$21:$F$123,5,FALSE)*$B941</f>
        <v>0</v>
      </c>
      <c r="I941" s="76">
        <f>VLOOKUP($C941,'Unit tariffs'!$B$21:$F$123,5,FALSE)*$B941</f>
        <v>0</v>
      </c>
    </row>
    <row r="942" spans="1:9" ht="13" x14ac:dyDescent="0.3">
      <c r="A942" s="91"/>
      <c r="B942" s="74">
        <v>1</v>
      </c>
      <c r="C942" s="74" t="str">
        <f>'Unit tariffs'!B72</f>
        <v>Cable clamp (Clampex) - K26</v>
      </c>
      <c r="D942" s="74"/>
      <c r="E942" s="74"/>
      <c r="F942" s="74"/>
      <c r="G942" s="74"/>
      <c r="H942" s="76">
        <f>VLOOKUP($C942,'Unit tariffs'!$B$21:$F$123,5,FALSE)*$B942</f>
        <v>1423.2410081400001</v>
      </c>
      <c r="I942" s="76">
        <f>VLOOKUP($C942,'Unit tariffs'!$B$21:$F$123,5,FALSE)*$B942</f>
        <v>1423.2410081400001</v>
      </c>
    </row>
    <row r="943" spans="1:9" ht="13" x14ac:dyDescent="0.3">
      <c r="A943" s="91"/>
      <c r="B943" s="74">
        <v>1</v>
      </c>
      <c r="C943" s="74" t="str">
        <f>'Unit tariffs'!B21</f>
        <v>Installation material</v>
      </c>
      <c r="D943" s="74"/>
      <c r="E943" s="74"/>
      <c r="F943" s="74"/>
      <c r="G943" s="74"/>
      <c r="H943" s="81">
        <f>VLOOKUP($C943,'Unit tariffs'!$B$21:$F$123,5,FALSE)*$B943</f>
        <v>282.48325</v>
      </c>
      <c r="I943" s="81">
        <f>VLOOKUP($C943,'Unit tariffs'!$B$21:$F$123,5,FALSE)*$B943</f>
        <v>282.48325</v>
      </c>
    </row>
    <row r="944" spans="1:9" ht="13" x14ac:dyDescent="0.3">
      <c r="A944" s="91"/>
      <c r="B944" s="74"/>
      <c r="C944" s="74"/>
      <c r="D944" s="74"/>
      <c r="E944" s="74"/>
      <c r="F944" s="74"/>
      <c r="G944" s="74"/>
      <c r="H944" s="76">
        <f>SUM(H940:H943)</f>
        <v>1705.7242581400001</v>
      </c>
      <c r="I944" s="76">
        <f>SUM(I940:I943)</f>
        <v>1705.7242581400001</v>
      </c>
    </row>
    <row r="945" spans="1:9" ht="13" x14ac:dyDescent="0.3">
      <c r="A945" s="91"/>
      <c r="B945" s="104" t="s">
        <v>42</v>
      </c>
      <c r="C945" s="74"/>
      <c r="D945" s="74"/>
      <c r="E945" s="74"/>
      <c r="F945" s="74"/>
      <c r="G945" s="74"/>
      <c r="H945" s="74"/>
      <c r="I945" s="74"/>
    </row>
    <row r="946" spans="1:9" ht="13" x14ac:dyDescent="0.3">
      <c r="A946" s="91"/>
      <c r="B946" s="74"/>
      <c r="C946" s="74"/>
      <c r="D946" s="74"/>
      <c r="E946" s="74"/>
      <c r="F946" s="74"/>
      <c r="G946" s="74"/>
    </row>
    <row r="947" spans="1:9" ht="13" x14ac:dyDescent="0.3">
      <c r="A947" s="91"/>
      <c r="B947" s="74">
        <v>1</v>
      </c>
      <c r="C947" s="74" t="str">
        <f>'Unit tariffs'!B$87</f>
        <v xml:space="preserve">hour-artisan </v>
      </c>
      <c r="D947" s="74"/>
      <c r="E947" s="74"/>
      <c r="F947" s="74"/>
      <c r="G947" s="74"/>
      <c r="H947" s="76">
        <f>VLOOKUP($C947,'Unit tariffs'!$B$21:$F$123,5,FALSE)*$B947</f>
        <v>351.19276615384621</v>
      </c>
      <c r="I947" s="76">
        <f>VLOOKUP($C947,'Unit tariffs'!$B$21:$F$123,5,FALSE)*$B947</f>
        <v>351.19276615384621</v>
      </c>
    </row>
    <row r="948" spans="1:9" ht="13" x14ac:dyDescent="0.3">
      <c r="A948" s="91"/>
      <c r="B948" s="74">
        <v>1</v>
      </c>
      <c r="C948" s="74" t="str">
        <f>'Unit tariffs'!B$85</f>
        <v>hour-artisan assistant</v>
      </c>
      <c r="D948" s="74"/>
      <c r="E948" s="74"/>
      <c r="F948" s="74"/>
      <c r="G948" s="74"/>
      <c r="H948" s="81">
        <f>VLOOKUP($C948,'Unit tariffs'!$B$21:$F$123,5,FALSE)*$B948</f>
        <v>139.82425846153848</v>
      </c>
      <c r="I948" s="81">
        <f>VLOOKUP($C948,'Unit tariffs'!$B$21:$F$123,5,FALSE)*$B948</f>
        <v>139.82425846153848</v>
      </c>
    </row>
    <row r="949" spans="1:9" ht="13" x14ac:dyDescent="0.3">
      <c r="A949" s="91"/>
      <c r="B949" s="74"/>
      <c r="C949" s="74"/>
      <c r="D949" s="74"/>
      <c r="E949" s="74"/>
      <c r="F949" s="74"/>
      <c r="G949" s="74"/>
      <c r="H949" s="76">
        <f>SUM(H947:H948)</f>
        <v>491.01702461538468</v>
      </c>
      <c r="I949" s="76">
        <f>SUM(I947:I948)</f>
        <v>491.01702461538468</v>
      </c>
    </row>
    <row r="950" spans="1:9" ht="13" x14ac:dyDescent="0.3">
      <c r="A950" s="91"/>
      <c r="B950" s="104" t="s">
        <v>43</v>
      </c>
      <c r="C950" s="74"/>
      <c r="D950" s="74"/>
      <c r="E950" s="74"/>
      <c r="F950" s="74"/>
      <c r="G950" s="74"/>
      <c r="H950" s="74"/>
      <c r="I950" s="74"/>
    </row>
    <row r="951" spans="1:9" ht="13" x14ac:dyDescent="0.3">
      <c r="A951" s="91"/>
      <c r="B951" s="74"/>
      <c r="C951" s="74"/>
      <c r="D951" s="74"/>
      <c r="E951" s="74"/>
      <c r="F951" s="74"/>
      <c r="G951" s="74"/>
      <c r="H951" s="74"/>
      <c r="I951" s="74"/>
    </row>
    <row r="952" spans="1:9" ht="13" x14ac:dyDescent="0.3">
      <c r="A952" s="91"/>
      <c r="B952" s="74">
        <v>24</v>
      </c>
      <c r="C952" s="74" t="str">
        <f>'Unit tariffs'!B$111</f>
        <v>km-truck with platform</v>
      </c>
      <c r="D952" s="74"/>
      <c r="E952" s="74"/>
      <c r="F952" s="74"/>
      <c r="G952" s="74"/>
      <c r="H952" s="76">
        <f>VLOOKUP($C952,'Unit tariffs'!$B$21:$F$123,5,FALSE)*$B952</f>
        <v>1182.7997218118533</v>
      </c>
      <c r="I952" s="76">
        <f>VLOOKUP($C952,'Unit tariffs'!$B$21:$F$123,5,FALSE)*$B952</f>
        <v>1182.7997218118533</v>
      </c>
    </row>
    <row r="953" spans="1:9" ht="13" x14ac:dyDescent="0.3">
      <c r="A953" s="91"/>
      <c r="B953" s="74">
        <v>1</v>
      </c>
      <c r="C953" s="74" t="str">
        <f>'Unit tariffs'!B$112</f>
        <v>hour-truck with platform</v>
      </c>
      <c r="D953" s="74"/>
      <c r="E953" s="74"/>
      <c r="F953" s="74"/>
      <c r="G953" s="74"/>
      <c r="H953" s="76">
        <f>VLOOKUP($C953,'Unit tariffs'!$B$21:$F$123,5,FALSE)*$B953</f>
        <v>239.8431204962792</v>
      </c>
      <c r="I953" s="76">
        <f>VLOOKUP($C953,'Unit tariffs'!$B$21:$F$123,5,FALSE)*$B953</f>
        <v>239.8431204962792</v>
      </c>
    </row>
    <row r="954" spans="1:9" ht="13" x14ac:dyDescent="0.3">
      <c r="A954" s="91"/>
      <c r="B954" s="74"/>
      <c r="C954" s="74"/>
      <c r="D954" s="74"/>
      <c r="E954" s="74"/>
      <c r="F954" s="74"/>
      <c r="G954" s="74"/>
      <c r="H954" s="137">
        <f>SUM(H952:H953)</f>
        <v>1422.6428423081325</v>
      </c>
      <c r="I954" s="137">
        <f>SUM(I952:I953)</f>
        <v>1422.6428423081325</v>
      </c>
    </row>
    <row r="955" spans="1:9" ht="13" x14ac:dyDescent="0.3">
      <c r="A955" s="91"/>
    </row>
    <row r="956" spans="1:9" ht="13" x14ac:dyDescent="0.3">
      <c r="A956" s="91"/>
    </row>
    <row r="957" spans="1:9" ht="13" x14ac:dyDescent="0.3">
      <c r="A957" s="91"/>
      <c r="B957" s="74"/>
      <c r="C957" s="74"/>
      <c r="D957" s="74"/>
      <c r="E957" s="74"/>
      <c r="F957" s="74"/>
      <c r="G957" s="74"/>
      <c r="H957" s="76">
        <f>+H954+H949+H944+H936</f>
        <v>11584.493986984269</v>
      </c>
      <c r="I957" s="76">
        <f>+I954+I949+I944+I936</f>
        <v>11584.493986984269</v>
      </c>
    </row>
    <row r="958" spans="1:9" ht="13.5" thickBot="1" x14ac:dyDescent="0.35">
      <c r="A958" s="91"/>
      <c r="B958" s="104" t="str">
        <f>'Unit tariffs'!$B$7</f>
        <v>Administration Levy (Indirect Cost)</v>
      </c>
      <c r="C958" s="74"/>
      <c r="D958" s="106">
        <f>'Unit tariffs'!$C$7</f>
        <v>0.1</v>
      </c>
      <c r="E958" s="74" t="s">
        <v>311</v>
      </c>
      <c r="F958" s="186">
        <f>+'Unit tariffs'!$F$7</f>
        <v>10000</v>
      </c>
      <c r="G958" s="74"/>
      <c r="H958" s="108">
        <f>IF(H957*$D958&gt;='Unit tariffs'!$E$7,'Unit tariffs'!$E$7,H957*$D958)</f>
        <v>1158.4493986984269</v>
      </c>
      <c r="I958" s="108">
        <f>IF(I957*$D958&gt;='Unit tariffs'!$E$7,'Unit tariffs'!$E$7,I957*$D958)</f>
        <v>1158.4493986984269</v>
      </c>
    </row>
    <row r="959" spans="1:9" ht="13.5" thickTop="1" x14ac:dyDescent="0.3">
      <c r="A959" s="91"/>
      <c r="B959" s="104" t="s">
        <v>44</v>
      </c>
      <c r="C959" s="74"/>
      <c r="D959" s="74"/>
      <c r="E959" s="74"/>
      <c r="F959" s="74"/>
      <c r="G959" s="74"/>
      <c r="H959" s="109">
        <f>SUM(H957:H958)</f>
        <v>12742.943385682696</v>
      </c>
      <c r="I959" s="109">
        <f>SUM(I957:I958)</f>
        <v>12742.943385682696</v>
      </c>
    </row>
    <row r="960" spans="1:9" ht="13" x14ac:dyDescent="0.3">
      <c r="A960" s="91"/>
      <c r="B960" s="74"/>
      <c r="C960" s="74"/>
      <c r="D960" s="74"/>
      <c r="E960" s="74"/>
      <c r="F960" s="74"/>
      <c r="G960" s="74"/>
      <c r="H960" s="74"/>
      <c r="I960" s="74"/>
    </row>
    <row r="961" spans="1:9" ht="13" x14ac:dyDescent="0.3">
      <c r="A961" s="91"/>
      <c r="B961" s="104" t="s">
        <v>45</v>
      </c>
      <c r="C961" s="74"/>
      <c r="D961" s="74"/>
      <c r="E961" s="74"/>
      <c r="F961" s="74"/>
      <c r="G961" s="74"/>
      <c r="H961" s="84">
        <f>ROUND(H959,-1)</f>
        <v>12740</v>
      </c>
      <c r="I961" s="84">
        <f>ROUND(I959,-1)</f>
        <v>12740</v>
      </c>
    </row>
    <row r="962" spans="1:9" ht="13" x14ac:dyDescent="0.3">
      <c r="A962" s="91"/>
      <c r="B962" s="74"/>
      <c r="C962" s="74"/>
      <c r="D962" s="74"/>
      <c r="E962" s="74"/>
      <c r="F962" s="74"/>
      <c r="G962" s="74"/>
      <c r="H962" s="76"/>
      <c r="I962" s="76"/>
    </row>
    <row r="963" spans="1:9" ht="13" x14ac:dyDescent="0.3">
      <c r="A963" s="91"/>
      <c r="B963" s="74"/>
      <c r="C963" s="74"/>
      <c r="D963" s="74"/>
      <c r="E963" s="74"/>
      <c r="F963" s="74"/>
      <c r="G963" s="74"/>
      <c r="H963" s="76"/>
      <c r="I963" s="76"/>
    </row>
    <row r="964" spans="1:9" ht="13" x14ac:dyDescent="0.3">
      <c r="A964" s="91"/>
      <c r="B964" s="74"/>
      <c r="C964" s="74"/>
      <c r="D964" s="74"/>
      <c r="E964" s="74"/>
      <c r="F964" s="74"/>
      <c r="G964" s="74"/>
      <c r="H964" s="112" t="e">
        <f>(H961-G961)/G961</f>
        <v>#DIV/0!</v>
      </c>
      <c r="I964" s="112">
        <f>(I961-H961)/H961</f>
        <v>0</v>
      </c>
    </row>
    <row r="965" spans="1:9" ht="13.5" thickBot="1" x14ac:dyDescent="0.35">
      <c r="A965" s="448"/>
      <c r="B965" s="123"/>
      <c r="C965" s="123"/>
      <c r="D965" s="123"/>
      <c r="E965" s="123"/>
      <c r="F965" s="123"/>
      <c r="G965" s="123"/>
      <c r="H965" s="123"/>
      <c r="I965" s="123"/>
    </row>
    <row r="966" spans="1:9" ht="13.5" thickTop="1" x14ac:dyDescent="0.3">
      <c r="A966" s="91"/>
      <c r="B966" s="74"/>
      <c r="C966" s="74"/>
      <c r="D966" s="74"/>
      <c r="E966" s="74"/>
      <c r="F966" s="74"/>
      <c r="G966" s="74"/>
      <c r="H966" s="74"/>
      <c r="I966" s="74"/>
    </row>
    <row r="967" spans="1:9" ht="13" x14ac:dyDescent="0.3">
      <c r="A967" s="91"/>
      <c r="B967" s="74" t="s">
        <v>1</v>
      </c>
      <c r="C967" s="74"/>
      <c r="D967" s="74"/>
      <c r="E967" s="74"/>
      <c r="F967" s="74"/>
      <c r="G967" s="74"/>
      <c r="H967" s="100"/>
      <c r="I967" s="100"/>
    </row>
    <row r="968" spans="1:9" ht="29" customHeight="1" x14ac:dyDescent="0.3">
      <c r="A968" s="91"/>
      <c r="B968" s="931" t="s">
        <v>657</v>
      </c>
      <c r="C968" s="932"/>
      <c r="D968" s="932"/>
      <c r="E968" s="932"/>
      <c r="F968" s="932"/>
      <c r="G968" s="933"/>
      <c r="H968" s="810" t="s">
        <v>666</v>
      </c>
      <c r="I968" s="810" t="s">
        <v>666</v>
      </c>
    </row>
    <row r="969" spans="1:9" ht="13" x14ac:dyDescent="0.3">
      <c r="A969" s="91"/>
      <c r="B969" s="74" t="s">
        <v>1</v>
      </c>
      <c r="C969" s="74"/>
      <c r="D969" s="74"/>
      <c r="E969" s="74"/>
      <c r="F969" s="74"/>
      <c r="G969" s="74"/>
      <c r="H969" s="74"/>
      <c r="I969" s="74"/>
    </row>
    <row r="970" spans="1:9" ht="13" x14ac:dyDescent="0.3">
      <c r="A970" s="91"/>
      <c r="B970" s="74" t="s">
        <v>1</v>
      </c>
      <c r="C970" s="74"/>
      <c r="D970" s="74"/>
      <c r="E970" s="74"/>
      <c r="F970" s="74"/>
      <c r="G970" s="74"/>
      <c r="H970" s="103" t="str">
        <f>+'Unit tariffs'!$F$11</f>
        <v>2026/2027</v>
      </c>
      <c r="I970" s="103" t="str">
        <f>+'Unit tariffs'!$F$11</f>
        <v>2026/2027</v>
      </c>
    </row>
    <row r="971" spans="1:9" ht="13" x14ac:dyDescent="0.3">
      <c r="A971" s="91"/>
      <c r="B971" s="104" t="s">
        <v>117</v>
      </c>
      <c r="C971" s="74"/>
      <c r="D971" s="74"/>
      <c r="E971" s="74"/>
      <c r="F971" s="74"/>
      <c r="G971" s="74"/>
      <c r="H971" s="127"/>
      <c r="I971" s="127"/>
    </row>
    <row r="972" spans="1:9" ht="13" x14ac:dyDescent="0.3">
      <c r="A972" s="91"/>
      <c r="B972" s="74" t="s">
        <v>118</v>
      </c>
      <c r="C972" s="74"/>
      <c r="D972" s="74"/>
      <c r="E972" s="74"/>
      <c r="F972" s="74"/>
      <c r="G972" s="74"/>
      <c r="H972" s="127"/>
      <c r="I972" s="127"/>
    </row>
    <row r="973" spans="1:9" ht="13" x14ac:dyDescent="0.3">
      <c r="A973" s="91"/>
      <c r="B973" s="74">
        <v>2.5</v>
      </c>
      <c r="C973" s="74" t="str">
        <f>'Unit tariffs'!B$133</f>
        <v>Secondary Backbone - LV Urban</v>
      </c>
      <c r="D973" s="74"/>
      <c r="E973" s="74"/>
      <c r="F973" s="74" t="str">
        <f>'Unit tariffs'!C$132</f>
        <v>per kVA</v>
      </c>
      <c r="G973" s="74"/>
      <c r="H973" s="76">
        <f>VLOOKUP($C973,'Unit tariffs'!$B$21:$F$158,5,FALSE)*$B973</f>
        <v>3090.700932684751</v>
      </c>
      <c r="I973" s="76">
        <f>VLOOKUP($C973,'Unit tariffs'!$B$21:$F$158,5,FALSE)*$B973</f>
        <v>3090.700932684751</v>
      </c>
    </row>
    <row r="974" spans="1:9" ht="13" x14ac:dyDescent="0.3">
      <c r="A974" s="91"/>
      <c r="B974" s="74">
        <v>2.5</v>
      </c>
      <c r="C974" s="74" t="str">
        <f>'Unit tariffs'!B$134</f>
        <v>LV Backbone -Urban</v>
      </c>
      <c r="D974" s="74"/>
      <c r="E974" s="74"/>
      <c r="F974" s="74" t="str">
        <f>'Unit tariffs'!C$133</f>
        <v>per kVA</v>
      </c>
      <c r="G974" s="74"/>
      <c r="H974" s="81">
        <f>VLOOKUP($C974,'Unit tariffs'!$B$21:$F$158,5,FALSE)*$B974</f>
        <v>1285.6643208255</v>
      </c>
      <c r="I974" s="81">
        <f>VLOOKUP($C974,'Unit tariffs'!$B$21:$F$158,5,FALSE)*$B974</f>
        <v>1285.6643208255</v>
      </c>
    </row>
    <row r="975" spans="1:9" ht="13" x14ac:dyDescent="0.3">
      <c r="A975" s="91"/>
      <c r="G975" s="74"/>
      <c r="H975" s="76">
        <f>SUM(H973:H974)</f>
        <v>4376.365253510251</v>
      </c>
      <c r="I975" s="76">
        <f>SUM(I973:I974)</f>
        <v>4376.365253510251</v>
      </c>
    </row>
    <row r="976" spans="1:9" ht="13" x14ac:dyDescent="0.3">
      <c r="A976" s="91"/>
      <c r="B976" s="74"/>
      <c r="C976" s="74"/>
      <c r="D976" s="74"/>
      <c r="E976" s="74"/>
      <c r="F976" s="74"/>
      <c r="G976" s="74"/>
      <c r="H976" s="76"/>
      <c r="I976" s="76"/>
    </row>
    <row r="977" spans="1:9" ht="13" x14ac:dyDescent="0.3">
      <c r="A977" s="91"/>
      <c r="B977" s="104" t="s">
        <v>41</v>
      </c>
      <c r="C977" s="74"/>
      <c r="D977" s="74"/>
      <c r="E977" s="74"/>
      <c r="F977" s="74"/>
      <c r="G977" s="74"/>
      <c r="H977" s="74"/>
      <c r="I977" s="74"/>
    </row>
    <row r="978" spans="1:9" ht="13" x14ac:dyDescent="0.3">
      <c r="A978" s="91"/>
      <c r="B978" s="74"/>
      <c r="C978" s="74"/>
      <c r="D978" s="74"/>
      <c r="E978" s="74"/>
      <c r="F978" s="74"/>
      <c r="G978" s="74"/>
      <c r="H978" s="74"/>
      <c r="I978" s="74"/>
    </row>
    <row r="979" spans="1:9" ht="13" x14ac:dyDescent="0.3">
      <c r="A979" s="91"/>
      <c r="B979" s="74">
        <v>1</v>
      </c>
      <c r="C979" s="347" t="str">
        <f>'Unit tariffs'!B36</f>
        <v xml:space="preserve">Prepaid meter (Split) 3 phase - </v>
      </c>
      <c r="D979" s="74"/>
      <c r="E979" s="74"/>
      <c r="F979" s="74"/>
      <c r="G979" s="74"/>
      <c r="H979" s="189">
        <f>VLOOKUP($C979,'Unit tariffs'!$B$21:$F$123,5,FALSE)*$B979</f>
        <v>0</v>
      </c>
      <c r="I979" s="189">
        <f>VLOOKUP($C979,'Unit tariffs'!$B$21:$F$123,5,FALSE)*$B979</f>
        <v>0</v>
      </c>
    </row>
    <row r="980" spans="1:9" ht="13" x14ac:dyDescent="0.3">
      <c r="A980" s="91"/>
      <c r="B980" s="74">
        <v>3</v>
      </c>
      <c r="C980" s="74" t="str">
        <f>'Unit tariffs'!B43</f>
        <v>x 80 A circuit breaker (5kA) - Orange</v>
      </c>
      <c r="D980" s="74"/>
      <c r="E980" s="74"/>
      <c r="F980" s="74"/>
      <c r="G980" s="74"/>
      <c r="H980" s="76">
        <f>VLOOKUP($C980,'Unit tariffs'!$B$21:$F$123,5,FALSE)*$B980</f>
        <v>0</v>
      </c>
      <c r="I980" s="76">
        <f>VLOOKUP($C980,'Unit tariffs'!$B$21:$F$123,5,FALSE)*$B980</f>
        <v>0</v>
      </c>
    </row>
    <row r="981" spans="1:9" ht="13" x14ac:dyDescent="0.3">
      <c r="A981" s="91"/>
      <c r="B981" s="74">
        <v>1</v>
      </c>
      <c r="C981" s="74" t="str">
        <f>'Unit tariffs'!B72</f>
        <v>Cable clamp (Clampex) - K26</v>
      </c>
      <c r="D981" s="74"/>
      <c r="E981" s="74"/>
      <c r="F981" s="74"/>
      <c r="G981" s="74"/>
      <c r="H981" s="76">
        <f>VLOOKUP($C981,'Unit tariffs'!$B$21:$F$123,5,FALSE)*$B981</f>
        <v>1423.2410081400001</v>
      </c>
      <c r="I981" s="76">
        <f>VLOOKUP($C981,'Unit tariffs'!$B$21:$F$123,5,FALSE)*$B981</f>
        <v>1423.2410081400001</v>
      </c>
    </row>
    <row r="982" spans="1:9" ht="13" x14ac:dyDescent="0.3">
      <c r="A982" s="91"/>
      <c r="B982" s="74">
        <v>1</v>
      </c>
      <c r="C982" s="74" t="str">
        <f>'Unit tariffs'!B21</f>
        <v>Installation material</v>
      </c>
      <c r="D982" s="74"/>
      <c r="E982" s="74"/>
      <c r="F982" s="74"/>
      <c r="G982" s="74"/>
      <c r="H982" s="81">
        <f>VLOOKUP($C982,'Unit tariffs'!$B$21:$F$123,5,FALSE)*$B982</f>
        <v>282.48325</v>
      </c>
      <c r="I982" s="81">
        <f>VLOOKUP($C982,'Unit tariffs'!$B$21:$F$123,5,FALSE)*$B982</f>
        <v>282.48325</v>
      </c>
    </row>
    <row r="983" spans="1:9" ht="13" x14ac:dyDescent="0.3">
      <c r="A983" s="91"/>
      <c r="B983" s="74"/>
      <c r="C983" s="74"/>
      <c r="D983" s="74"/>
      <c r="E983" s="74"/>
      <c r="F983" s="74"/>
      <c r="G983" s="74"/>
      <c r="H983" s="76">
        <f>SUM(H979:H982)</f>
        <v>1705.7242581400001</v>
      </c>
      <c r="I983" s="76">
        <f>SUM(I979:I982)</f>
        <v>1705.7242581400001</v>
      </c>
    </row>
    <row r="984" spans="1:9" ht="13" x14ac:dyDescent="0.3">
      <c r="A984" s="91"/>
      <c r="B984" s="104" t="s">
        <v>42</v>
      </c>
      <c r="C984" s="74"/>
      <c r="D984" s="74"/>
      <c r="E984" s="74"/>
      <c r="F984" s="74"/>
      <c r="G984" s="74"/>
      <c r="H984" s="74"/>
      <c r="I984" s="74"/>
    </row>
    <row r="985" spans="1:9" ht="13" x14ac:dyDescent="0.3">
      <c r="A985" s="91"/>
      <c r="B985" s="74"/>
      <c r="C985" s="74"/>
      <c r="D985" s="74"/>
      <c r="E985" s="74"/>
      <c r="F985" s="74"/>
      <c r="G985" s="74"/>
      <c r="H985" s="74"/>
      <c r="I985" s="74"/>
    </row>
    <row r="986" spans="1:9" ht="13" x14ac:dyDescent="0.3">
      <c r="A986" s="91"/>
      <c r="B986" s="74">
        <v>1</v>
      </c>
      <c r="C986" s="74" t="str">
        <f>'Unit tariffs'!B$87</f>
        <v xml:space="preserve">hour-artisan </v>
      </c>
      <c r="D986" s="74"/>
      <c r="E986" s="74"/>
      <c r="F986" s="74"/>
      <c r="G986" s="74"/>
      <c r="H986" s="76">
        <f>VLOOKUP($C986,'Unit tariffs'!$B$21:$F$123,5,FALSE)*$B986</f>
        <v>351.19276615384621</v>
      </c>
      <c r="I986" s="76">
        <f>VLOOKUP($C986,'Unit tariffs'!$B$21:$F$123,5,FALSE)*$B986</f>
        <v>351.19276615384621</v>
      </c>
    </row>
    <row r="987" spans="1:9" ht="13" x14ac:dyDescent="0.3">
      <c r="A987" s="91"/>
      <c r="B987" s="74">
        <v>1</v>
      </c>
      <c r="C987" s="74" t="str">
        <f>'Unit tariffs'!B$85</f>
        <v>hour-artisan assistant</v>
      </c>
      <c r="D987" s="74"/>
      <c r="E987" s="74"/>
      <c r="F987" s="74"/>
      <c r="G987" s="74"/>
      <c r="H987" s="81">
        <f>VLOOKUP($C987,'Unit tariffs'!$B$21:$F$123,5,FALSE)*$B987</f>
        <v>139.82425846153848</v>
      </c>
      <c r="I987" s="81">
        <f>VLOOKUP($C987,'Unit tariffs'!$B$21:$F$123,5,FALSE)*$B987</f>
        <v>139.82425846153848</v>
      </c>
    </row>
    <row r="988" spans="1:9" ht="13" x14ac:dyDescent="0.3">
      <c r="A988" s="91"/>
      <c r="B988" s="74"/>
      <c r="C988" s="74"/>
      <c r="D988" s="74"/>
      <c r="E988" s="74"/>
      <c r="F988" s="74"/>
      <c r="G988" s="74"/>
      <c r="H988" s="76">
        <f>SUM(H986:H987)</f>
        <v>491.01702461538468</v>
      </c>
      <c r="I988" s="76">
        <f>SUM(I986:I987)</f>
        <v>491.01702461538468</v>
      </c>
    </row>
    <row r="989" spans="1:9" ht="13" x14ac:dyDescent="0.3">
      <c r="A989" s="91"/>
      <c r="B989" s="104" t="s">
        <v>43</v>
      </c>
      <c r="C989" s="74"/>
      <c r="D989" s="74"/>
      <c r="E989" s="74"/>
      <c r="F989" s="74"/>
      <c r="G989" s="74"/>
      <c r="H989" s="74"/>
      <c r="I989" s="74"/>
    </row>
    <row r="990" spans="1:9" ht="13" x14ac:dyDescent="0.3">
      <c r="A990" s="91"/>
      <c r="B990" s="74"/>
      <c r="C990" s="74"/>
      <c r="D990" s="74"/>
      <c r="E990" s="74"/>
      <c r="F990" s="74"/>
      <c r="G990" s="74"/>
      <c r="H990" s="74"/>
      <c r="I990" s="74"/>
    </row>
    <row r="991" spans="1:9" ht="13" x14ac:dyDescent="0.3">
      <c r="A991" s="91"/>
      <c r="B991" s="74">
        <v>24</v>
      </c>
      <c r="C991" s="74" t="str">
        <f>'Unit tariffs'!B$111</f>
        <v>km-truck with platform</v>
      </c>
      <c r="D991" s="74"/>
      <c r="E991" s="74"/>
      <c r="F991" s="74"/>
      <c r="G991" s="74"/>
      <c r="H991" s="76">
        <f>VLOOKUP($C991,'Unit tariffs'!$B$21:$F$123,5,FALSE)*$B991</f>
        <v>1182.7997218118533</v>
      </c>
      <c r="I991" s="76">
        <f>VLOOKUP($C991,'Unit tariffs'!$B$21:$F$123,5,FALSE)*$B991</f>
        <v>1182.7997218118533</v>
      </c>
    </row>
    <row r="992" spans="1:9" ht="13" x14ac:dyDescent="0.3">
      <c r="A992" s="91"/>
      <c r="B992" s="74">
        <v>1</v>
      </c>
      <c r="C992" s="74" t="str">
        <f>'Unit tariffs'!B$112</f>
        <v>hour-truck with platform</v>
      </c>
      <c r="D992" s="74"/>
      <c r="E992" s="74"/>
      <c r="F992" s="74"/>
      <c r="G992" s="74"/>
      <c r="H992" s="76">
        <f>VLOOKUP($C992,'Unit tariffs'!$B$21:$F$123,5,FALSE)*$B992</f>
        <v>239.8431204962792</v>
      </c>
      <c r="I992" s="76">
        <f>VLOOKUP($C992,'Unit tariffs'!$B$21:$F$123,5,FALSE)*$B992</f>
        <v>239.8431204962792</v>
      </c>
    </row>
    <row r="993" spans="1:9" ht="13" x14ac:dyDescent="0.3">
      <c r="A993" s="91"/>
      <c r="B993" s="74"/>
      <c r="C993" s="74"/>
      <c r="D993" s="74"/>
      <c r="E993" s="74"/>
      <c r="F993" s="74"/>
      <c r="G993" s="74"/>
      <c r="H993" s="137">
        <f>SUM(H991:H992)</f>
        <v>1422.6428423081325</v>
      </c>
      <c r="I993" s="137">
        <f>SUM(I991:I992)</f>
        <v>1422.6428423081325</v>
      </c>
    </row>
    <row r="995" spans="1:9" ht="13" x14ac:dyDescent="0.3">
      <c r="A995" s="91"/>
      <c r="B995" s="74"/>
      <c r="C995" s="74"/>
      <c r="D995" s="74"/>
      <c r="E995" s="74"/>
      <c r="F995" s="74"/>
      <c r="G995" s="74"/>
      <c r="H995" s="76">
        <f>+H993+H988+H983+H975</f>
        <v>7995.7493785737679</v>
      </c>
      <c r="I995" s="76">
        <f>+I993+I988+I983+I975</f>
        <v>7995.7493785737679</v>
      </c>
    </row>
    <row r="996" spans="1:9" ht="13.5" thickBot="1" x14ac:dyDescent="0.35">
      <c r="A996" s="91"/>
      <c r="B996" s="104" t="str">
        <f>'Unit tariffs'!$B$7</f>
        <v>Administration Levy (Indirect Cost)</v>
      </c>
      <c r="C996" s="74"/>
      <c r="D996" s="106">
        <f>'Unit tariffs'!$C$7</f>
        <v>0.1</v>
      </c>
      <c r="E996" s="74" t="s">
        <v>311</v>
      </c>
      <c r="F996" s="186">
        <f>+'Unit tariffs'!$F$7</f>
        <v>10000</v>
      </c>
      <c r="G996" s="74"/>
      <c r="H996" s="108">
        <f>IF(H995*$D996&gt;='Unit tariffs'!$E$7,'Unit tariffs'!$E$7,H995*$D996)</f>
        <v>799.57493785737688</v>
      </c>
      <c r="I996" s="108">
        <f>IF(I995*$D996&gt;='Unit tariffs'!$E$7,'Unit tariffs'!$E$7,I995*$D996)</f>
        <v>799.57493785737688</v>
      </c>
    </row>
    <row r="997" spans="1:9" ht="13.5" thickTop="1" x14ac:dyDescent="0.3">
      <c r="A997" s="91"/>
      <c r="B997" s="104" t="s">
        <v>44</v>
      </c>
      <c r="C997" s="74"/>
      <c r="D997" s="74"/>
      <c r="E997" s="74"/>
      <c r="F997" s="74"/>
      <c r="G997" s="74"/>
      <c r="H997" s="109">
        <f>SUM(H995:H996)</f>
        <v>8795.3243164311443</v>
      </c>
      <c r="I997" s="109">
        <f>SUM(I995:I996)</f>
        <v>8795.3243164311443</v>
      </c>
    </row>
    <row r="998" spans="1:9" ht="13" x14ac:dyDescent="0.3">
      <c r="A998" s="91"/>
      <c r="B998" s="74"/>
      <c r="C998" s="74"/>
      <c r="D998" s="74"/>
      <c r="E998" s="74"/>
      <c r="F998" s="74"/>
      <c r="G998" s="74"/>
      <c r="H998" s="74"/>
      <c r="I998" s="74"/>
    </row>
    <row r="999" spans="1:9" ht="13" x14ac:dyDescent="0.3">
      <c r="A999" s="91"/>
      <c r="B999" s="104" t="s">
        <v>45</v>
      </c>
      <c r="C999" s="74"/>
      <c r="D999" s="74"/>
      <c r="E999" s="74"/>
      <c r="F999" s="74"/>
      <c r="G999" s="74"/>
      <c r="H999" s="84">
        <f>ROUND(H997,-1)</f>
        <v>8800</v>
      </c>
      <c r="I999" s="84">
        <f>ROUND(I997,-1)</f>
        <v>8800</v>
      </c>
    </row>
    <row r="1000" spans="1:9" ht="13" x14ac:dyDescent="0.3">
      <c r="A1000" s="91"/>
      <c r="B1000" s="104"/>
      <c r="C1000" s="74"/>
      <c r="D1000" s="74"/>
      <c r="E1000" s="74"/>
      <c r="F1000" s="74"/>
      <c r="G1000" s="74"/>
      <c r="H1000" s="84"/>
      <c r="I1000" s="84"/>
    </row>
    <row r="1001" spans="1:9" ht="13" x14ac:dyDescent="0.3">
      <c r="A1001" s="91"/>
      <c r="B1001" s="104"/>
      <c r="C1001" s="74"/>
      <c r="D1001" s="74"/>
      <c r="E1001" s="74"/>
      <c r="F1001" s="74"/>
      <c r="G1001" s="74"/>
      <c r="H1001" s="84"/>
      <c r="I1001" s="84"/>
    </row>
    <row r="1002" spans="1:9" ht="13" x14ac:dyDescent="0.3">
      <c r="A1002" s="91"/>
      <c r="B1002" s="104"/>
      <c r="C1002" s="74"/>
      <c r="D1002" s="74"/>
      <c r="E1002" s="74"/>
      <c r="F1002" s="74"/>
      <c r="G1002" s="74"/>
      <c r="H1002" s="112" t="e">
        <f>(H999-G999)/G999</f>
        <v>#DIV/0!</v>
      </c>
      <c r="I1002" s="112">
        <f>(I999-H999)/H999</f>
        <v>0</v>
      </c>
    </row>
    <row r="1003" spans="1:9" ht="13.5" thickBot="1" x14ac:dyDescent="0.35">
      <c r="A1003" s="448"/>
      <c r="B1003" s="796"/>
      <c r="C1003" s="123"/>
      <c r="D1003" s="123"/>
      <c r="E1003" s="123"/>
      <c r="F1003" s="123"/>
      <c r="G1003" s="123"/>
      <c r="H1003" s="797"/>
      <c r="I1003" s="797"/>
    </row>
    <row r="1004" spans="1:9" ht="13" thickTop="1" x14ac:dyDescent="0.25"/>
    <row r="1005" spans="1:9" ht="35.75" customHeight="1" x14ac:dyDescent="0.3">
      <c r="B1005" s="931" t="s">
        <v>671</v>
      </c>
      <c r="C1005" s="932"/>
      <c r="D1005" s="932"/>
      <c r="E1005" s="932"/>
      <c r="F1005" s="932"/>
      <c r="G1005" s="933"/>
      <c r="H1005" s="810" t="s">
        <v>661</v>
      </c>
      <c r="I1005" s="810" t="s">
        <v>661</v>
      </c>
    </row>
    <row r="1006" spans="1:9" ht="13" x14ac:dyDescent="0.3">
      <c r="H1006" s="103" t="str">
        <f>+'Unit tariffs'!$F$11</f>
        <v>2026/2027</v>
      </c>
      <c r="I1006" s="103" t="str">
        <f>+'Unit tariffs'!$F$11</f>
        <v>2026/2027</v>
      </c>
    </row>
    <row r="1009" spans="1:9" ht="13" x14ac:dyDescent="0.3">
      <c r="A1009" s="91"/>
      <c r="B1009" s="104" t="s">
        <v>41</v>
      </c>
      <c r="C1009" s="74"/>
      <c r="D1009" s="74"/>
      <c r="E1009" s="74"/>
      <c r="F1009" s="74"/>
      <c r="G1009" s="74"/>
      <c r="H1009" s="74"/>
      <c r="I1009" s="74"/>
    </row>
    <row r="1010" spans="1:9" ht="13" x14ac:dyDescent="0.3">
      <c r="A1010" s="91"/>
      <c r="B1010" s="74"/>
      <c r="C1010" s="74"/>
      <c r="D1010" s="74"/>
      <c r="E1010" s="74"/>
      <c r="F1010" s="74"/>
      <c r="G1010" s="74"/>
      <c r="H1010" s="74"/>
      <c r="I1010" s="74"/>
    </row>
    <row r="1011" spans="1:9" ht="13" x14ac:dyDescent="0.3">
      <c r="A1011" s="91"/>
      <c r="B1011" s="74">
        <v>1</v>
      </c>
      <c r="C1011" s="347" t="str">
        <f>'Unit tariffs'!B36</f>
        <v xml:space="preserve">Prepaid meter (Split) 3 phase - </v>
      </c>
      <c r="D1011" s="74"/>
      <c r="E1011" s="74"/>
      <c r="F1011" s="74"/>
      <c r="G1011" s="74"/>
      <c r="H1011" s="189">
        <f>VLOOKUP($C1011,'Unit tariffs'!$B$21:$F$123,5,FALSE)*$B1011</f>
        <v>0</v>
      </c>
      <c r="I1011" s="189">
        <f>VLOOKUP($C1011,'Unit tariffs'!$B$21:$F$123,5,FALSE)*$B1011</f>
        <v>0</v>
      </c>
    </row>
    <row r="1012" spans="1:9" ht="13" x14ac:dyDescent="0.3">
      <c r="A1012" s="91"/>
      <c r="B1012" s="74">
        <v>3</v>
      </c>
      <c r="C1012" s="74" t="str">
        <f>'Unit tariffs'!B43</f>
        <v>x 80 A circuit breaker (5kA) - Orange</v>
      </c>
      <c r="D1012" s="74"/>
      <c r="E1012" s="74"/>
      <c r="F1012" s="74"/>
      <c r="G1012" s="74"/>
      <c r="H1012" s="76">
        <f>VLOOKUP($C1012,'Unit tariffs'!$B$21:$F$123,5,FALSE)*$B1012</f>
        <v>0</v>
      </c>
      <c r="I1012" s="76">
        <f>VLOOKUP($C1012,'Unit tariffs'!$B$21:$F$123,5,FALSE)*$B1012</f>
        <v>0</v>
      </c>
    </row>
    <row r="1013" spans="1:9" ht="13" x14ac:dyDescent="0.3">
      <c r="A1013" s="91"/>
      <c r="B1013" s="74">
        <v>1</v>
      </c>
      <c r="C1013" s="74" t="str">
        <f>'Unit tariffs'!B72</f>
        <v>Cable clamp (Clampex) - K26</v>
      </c>
      <c r="D1013" s="74"/>
      <c r="E1013" s="74"/>
      <c r="F1013" s="74"/>
      <c r="G1013" s="74"/>
      <c r="H1013" s="76">
        <f>VLOOKUP($C1013,'Unit tariffs'!$B$21:$F$123,5,FALSE)*$B1013</f>
        <v>1423.2410081400001</v>
      </c>
      <c r="I1013" s="76">
        <f>VLOOKUP($C1013,'Unit tariffs'!$B$21:$F$123,5,FALSE)*$B1013</f>
        <v>1423.2410081400001</v>
      </c>
    </row>
    <row r="1014" spans="1:9" ht="13" x14ac:dyDescent="0.3">
      <c r="A1014" s="91"/>
      <c r="B1014" s="74">
        <v>1</v>
      </c>
      <c r="C1014" s="74" t="str">
        <f>'Unit tariffs'!B21</f>
        <v>Installation material</v>
      </c>
      <c r="D1014" s="74"/>
      <c r="E1014" s="74"/>
      <c r="F1014" s="74"/>
      <c r="G1014" s="74"/>
      <c r="H1014" s="81">
        <f>VLOOKUP($C1014,'Unit tariffs'!$B$21:$F$123,5,FALSE)*$B1014</f>
        <v>282.48325</v>
      </c>
      <c r="I1014" s="81">
        <f>VLOOKUP($C1014,'Unit tariffs'!$B$21:$F$123,5,FALSE)*$B1014</f>
        <v>282.48325</v>
      </c>
    </row>
    <row r="1015" spans="1:9" ht="13" x14ac:dyDescent="0.3">
      <c r="A1015" s="91"/>
      <c r="B1015" s="74"/>
      <c r="C1015" s="74"/>
      <c r="D1015" s="74"/>
      <c r="E1015" s="74"/>
      <c r="F1015" s="74"/>
      <c r="G1015" s="74"/>
      <c r="H1015" s="76">
        <f>SUM(H1011:H1014)</f>
        <v>1705.7242581400001</v>
      </c>
      <c r="I1015" s="76">
        <f>SUM(I1011:I1014)</f>
        <v>1705.7242581400001</v>
      </c>
    </row>
    <row r="1016" spans="1:9" ht="13" x14ac:dyDescent="0.3">
      <c r="A1016" s="91"/>
      <c r="B1016" s="104" t="s">
        <v>42</v>
      </c>
      <c r="C1016" s="74"/>
      <c r="D1016" s="74"/>
      <c r="E1016" s="74"/>
      <c r="F1016" s="74"/>
      <c r="G1016" s="74"/>
      <c r="H1016" s="74"/>
      <c r="I1016" s="74"/>
    </row>
    <row r="1017" spans="1:9" ht="13" x14ac:dyDescent="0.3">
      <c r="A1017" s="91"/>
      <c r="B1017" s="74"/>
      <c r="C1017" s="74"/>
      <c r="D1017" s="74"/>
      <c r="E1017" s="74"/>
      <c r="F1017" s="74"/>
      <c r="G1017" s="74"/>
      <c r="H1017" s="74"/>
      <c r="I1017" s="74"/>
    </row>
    <row r="1018" spans="1:9" ht="13" x14ac:dyDescent="0.3">
      <c r="A1018" s="91"/>
      <c r="B1018" s="74">
        <v>1</v>
      </c>
      <c r="C1018" s="74" t="str">
        <f>'Unit tariffs'!B$87</f>
        <v xml:space="preserve">hour-artisan </v>
      </c>
      <c r="D1018" s="74"/>
      <c r="E1018" s="74"/>
      <c r="F1018" s="74"/>
      <c r="G1018" s="74"/>
      <c r="H1018" s="76">
        <f>VLOOKUP($C1018,'Unit tariffs'!$B$21:$F$123,5,FALSE)*$B1018</f>
        <v>351.19276615384621</v>
      </c>
      <c r="I1018" s="76">
        <f>VLOOKUP($C1018,'Unit tariffs'!$B$21:$F$123,5,FALSE)*$B1018</f>
        <v>351.19276615384621</v>
      </c>
    </row>
    <row r="1019" spans="1:9" ht="13" x14ac:dyDescent="0.3">
      <c r="A1019" s="91"/>
      <c r="B1019" s="74">
        <v>1</v>
      </c>
      <c r="C1019" s="74" t="str">
        <f>'Unit tariffs'!B$85</f>
        <v>hour-artisan assistant</v>
      </c>
      <c r="D1019" s="74"/>
      <c r="E1019" s="74"/>
      <c r="F1019" s="74"/>
      <c r="G1019" s="74"/>
      <c r="H1019" s="81">
        <f>VLOOKUP($C1019,'Unit tariffs'!$B$21:$F$123,5,FALSE)*$B1019</f>
        <v>139.82425846153848</v>
      </c>
      <c r="I1019" s="81">
        <f>VLOOKUP($C1019,'Unit tariffs'!$B$21:$F$123,5,FALSE)*$B1019</f>
        <v>139.82425846153848</v>
      </c>
    </row>
    <row r="1020" spans="1:9" ht="13" x14ac:dyDescent="0.3">
      <c r="A1020" s="91"/>
      <c r="B1020" s="74"/>
      <c r="C1020" s="74"/>
      <c r="D1020" s="74"/>
      <c r="E1020" s="74"/>
      <c r="F1020" s="74"/>
      <c r="G1020" s="74"/>
      <c r="H1020" s="76">
        <f>SUM(H1018:H1019)</f>
        <v>491.01702461538468</v>
      </c>
      <c r="I1020" s="76">
        <f>SUM(I1018:I1019)</f>
        <v>491.01702461538468</v>
      </c>
    </row>
    <row r="1021" spans="1:9" ht="13" x14ac:dyDescent="0.3">
      <c r="A1021" s="91"/>
      <c r="B1021" s="104" t="s">
        <v>43</v>
      </c>
      <c r="C1021" s="74"/>
      <c r="D1021" s="74"/>
      <c r="E1021" s="74"/>
      <c r="F1021" s="74"/>
      <c r="G1021" s="74"/>
      <c r="H1021" s="74"/>
      <c r="I1021" s="74"/>
    </row>
    <row r="1022" spans="1:9" ht="13" x14ac:dyDescent="0.3">
      <c r="A1022" s="91"/>
      <c r="B1022" s="74"/>
      <c r="C1022" s="74"/>
      <c r="D1022" s="74"/>
      <c r="E1022" s="74"/>
      <c r="F1022" s="74"/>
      <c r="G1022" s="74"/>
      <c r="H1022" s="74"/>
      <c r="I1022" s="74"/>
    </row>
    <row r="1023" spans="1:9" ht="13" x14ac:dyDescent="0.3">
      <c r="A1023" s="91"/>
      <c r="B1023" s="74">
        <v>12</v>
      </c>
      <c r="C1023" s="74" t="str">
        <f>'Unit tariffs'!B$111</f>
        <v>km-truck with platform</v>
      </c>
      <c r="D1023" s="74"/>
      <c r="E1023" s="74"/>
      <c r="F1023" s="74"/>
      <c r="G1023" s="74"/>
      <c r="H1023" s="76">
        <f>VLOOKUP($C1023,'Unit tariffs'!$B$21:$F$123,5,FALSE)*$B1023</f>
        <v>591.39986090592663</v>
      </c>
      <c r="I1023" s="76">
        <f>VLOOKUP($C1023,'Unit tariffs'!$B$21:$F$123,5,FALSE)*$B1023</f>
        <v>591.39986090592663</v>
      </c>
    </row>
    <row r="1024" spans="1:9" ht="13" x14ac:dyDescent="0.3">
      <c r="A1024" s="91"/>
      <c r="B1024" s="74">
        <v>1</v>
      </c>
      <c r="C1024" s="74" t="str">
        <f>'Unit tariffs'!B$112</f>
        <v>hour-truck with platform</v>
      </c>
      <c r="D1024" s="74"/>
      <c r="E1024" s="74"/>
      <c r="F1024" s="74"/>
      <c r="G1024" s="74"/>
      <c r="H1024" s="76">
        <f>VLOOKUP($C1024,'Unit tariffs'!$B$21:$F$123,5,FALSE)*$B1024</f>
        <v>239.8431204962792</v>
      </c>
      <c r="I1024" s="76">
        <f>VLOOKUP($C1024,'Unit tariffs'!$B$21:$F$123,5,FALSE)*$B1024</f>
        <v>239.8431204962792</v>
      </c>
    </row>
    <row r="1025" spans="1:9" ht="13" x14ac:dyDescent="0.3">
      <c r="A1025" s="91"/>
      <c r="B1025" s="74"/>
      <c r="C1025" s="74"/>
      <c r="D1025" s="74"/>
      <c r="E1025" s="74"/>
      <c r="F1025" s="74"/>
      <c r="G1025" s="74"/>
      <c r="H1025" s="137">
        <f>SUM(H1023:H1024)</f>
        <v>831.24298140220583</v>
      </c>
      <c r="I1025" s="137">
        <f>SUM(I1023:I1024)</f>
        <v>831.24298140220583</v>
      </c>
    </row>
    <row r="1027" spans="1:9" ht="13" x14ac:dyDescent="0.3">
      <c r="A1027" s="91"/>
      <c r="B1027" s="74"/>
      <c r="C1027" s="74"/>
      <c r="D1027" s="74"/>
      <c r="E1027" s="74"/>
      <c r="F1027" s="74"/>
      <c r="G1027" s="74"/>
      <c r="H1027" s="76">
        <f>+H1025+H1020+H1015</f>
        <v>3027.9842641575906</v>
      </c>
      <c r="I1027" s="76">
        <f>+I1025+I1020+I1015</f>
        <v>3027.9842641575906</v>
      </c>
    </row>
    <row r="1028" spans="1:9" ht="13.5" thickBot="1" x14ac:dyDescent="0.35">
      <c r="A1028" s="91"/>
      <c r="B1028" s="104" t="str">
        <f>'Unit tariffs'!$B$7</f>
        <v>Administration Levy (Indirect Cost)</v>
      </c>
      <c r="C1028" s="74"/>
      <c r="D1028" s="106">
        <f>'Unit tariffs'!$C$7</f>
        <v>0.1</v>
      </c>
      <c r="E1028" s="74" t="s">
        <v>311</v>
      </c>
      <c r="F1028" s="186">
        <f>+'Unit tariffs'!$F$7</f>
        <v>10000</v>
      </c>
      <c r="G1028" s="74"/>
      <c r="H1028" s="108">
        <f>IF(H1027*$D1028&gt;='Unit tariffs'!$E$7,'Unit tariffs'!$E$7,H1027*$D1028)</f>
        <v>302.79842641575908</v>
      </c>
      <c r="I1028" s="108">
        <f>IF(I1027*$D1028&gt;='Unit tariffs'!$E$7,'Unit tariffs'!$E$7,I1027*$D1028)</f>
        <v>302.79842641575908</v>
      </c>
    </row>
    <row r="1029" spans="1:9" ht="13.5" thickTop="1" x14ac:dyDescent="0.3">
      <c r="A1029" s="91"/>
      <c r="B1029" s="104" t="s">
        <v>44</v>
      </c>
      <c r="C1029" s="74"/>
      <c r="D1029" s="74"/>
      <c r="E1029" s="74"/>
      <c r="F1029" s="74"/>
      <c r="G1029" s="74"/>
      <c r="H1029" s="109">
        <f>SUM(H1027:H1028)</f>
        <v>3330.7826905733496</v>
      </c>
      <c r="I1029" s="109">
        <f>SUM(I1027:I1028)</f>
        <v>3330.7826905733496</v>
      </c>
    </row>
    <row r="1030" spans="1:9" ht="13" x14ac:dyDescent="0.3">
      <c r="A1030" s="91"/>
      <c r="B1030" s="74"/>
      <c r="C1030" s="74"/>
      <c r="D1030" s="74"/>
      <c r="E1030" s="74"/>
      <c r="F1030" s="74"/>
      <c r="G1030" s="74"/>
      <c r="H1030" s="74"/>
      <c r="I1030" s="74"/>
    </row>
    <row r="1031" spans="1:9" ht="13" x14ac:dyDescent="0.3">
      <c r="A1031" s="91"/>
      <c r="B1031" s="104" t="s">
        <v>45</v>
      </c>
      <c r="C1031" s="74"/>
      <c r="D1031" s="74"/>
      <c r="E1031" s="74"/>
      <c r="F1031" s="74"/>
      <c r="G1031" s="74"/>
      <c r="H1031" s="84">
        <f>ROUND(H1029,-1)</f>
        <v>3330</v>
      </c>
      <c r="I1031" s="84">
        <f>ROUND(I1029,-1)</f>
        <v>3330</v>
      </c>
    </row>
    <row r="1032" spans="1:9" ht="13" x14ac:dyDescent="0.3">
      <c r="A1032" s="74"/>
      <c r="B1032" s="104"/>
      <c r="C1032" s="74"/>
      <c r="D1032" s="74"/>
      <c r="E1032" s="74"/>
      <c r="F1032" s="74"/>
      <c r="G1032" s="74"/>
      <c r="H1032" s="84"/>
      <c r="I1032" s="84"/>
    </row>
    <row r="1033" spans="1:9" ht="13" x14ac:dyDescent="0.3">
      <c r="A1033" s="74"/>
      <c r="B1033" s="104"/>
      <c r="C1033" s="74"/>
      <c r="D1033" s="74"/>
      <c r="E1033" s="74"/>
      <c r="F1033" s="74"/>
      <c r="G1033" s="74"/>
      <c r="H1033" s="112" t="e">
        <f>(H1031-G1031)/G1031</f>
        <v>#DIV/0!</v>
      </c>
      <c r="I1033" s="112">
        <f>(I1031-H1031)/H1031</f>
        <v>0</v>
      </c>
    </row>
    <row r="1034" spans="1:9" ht="13" x14ac:dyDescent="0.3">
      <c r="A1034" s="74"/>
      <c r="B1034" s="104"/>
      <c r="C1034" s="74"/>
      <c r="D1034" s="74"/>
      <c r="E1034" s="74"/>
      <c r="F1034" s="74"/>
      <c r="G1034" s="74"/>
      <c r="H1034" s="84"/>
      <c r="I1034" s="84"/>
    </row>
    <row r="1035" spans="1:9" ht="13" x14ac:dyDescent="0.3">
      <c r="A1035" s="74"/>
      <c r="B1035" s="104"/>
      <c r="C1035" s="74"/>
      <c r="D1035" s="74"/>
      <c r="E1035" s="74"/>
      <c r="F1035" s="74"/>
      <c r="G1035" s="74"/>
      <c r="H1035" s="84"/>
      <c r="I1035" s="84"/>
    </row>
    <row r="1036" spans="1:9" ht="13.5" thickBot="1" x14ac:dyDescent="0.35">
      <c r="A1036" s="123"/>
      <c r="B1036" s="796"/>
      <c r="C1036" s="123"/>
      <c r="D1036" s="123"/>
      <c r="E1036" s="123"/>
      <c r="F1036" s="123"/>
      <c r="G1036" s="123"/>
      <c r="H1036" s="797"/>
      <c r="I1036" s="797"/>
    </row>
    <row r="1037" spans="1:9" ht="13.5" thickTop="1" x14ac:dyDescent="0.3">
      <c r="A1037" s="74"/>
      <c r="B1037" s="104"/>
      <c r="C1037" s="74"/>
      <c r="D1037" s="74"/>
      <c r="E1037" s="74"/>
      <c r="F1037" s="74"/>
      <c r="G1037" s="74"/>
      <c r="H1037" s="84"/>
      <c r="I1037" s="84"/>
    </row>
    <row r="1039" spans="1:9" ht="35" customHeight="1" x14ac:dyDescent="0.3">
      <c r="B1039" s="931" t="s">
        <v>663</v>
      </c>
      <c r="C1039" s="932"/>
      <c r="D1039" s="932"/>
      <c r="E1039" s="932"/>
      <c r="F1039" s="932"/>
      <c r="G1039" s="933"/>
      <c r="H1039" s="810" t="s">
        <v>660</v>
      </c>
      <c r="I1039" s="810" t="s">
        <v>660</v>
      </c>
    </row>
    <row r="1041" spans="1:9" ht="13" x14ac:dyDescent="0.3">
      <c r="H1041" s="103" t="str">
        <f>+'Unit tariffs'!$F$11</f>
        <v>2026/2027</v>
      </c>
      <c r="I1041" s="103" t="str">
        <f>+'Unit tariffs'!$F$11</f>
        <v>2026/2027</v>
      </c>
    </row>
    <row r="1043" spans="1:9" ht="13" x14ac:dyDescent="0.3">
      <c r="A1043" s="91"/>
      <c r="B1043" s="104" t="s">
        <v>41</v>
      </c>
      <c r="C1043" s="74"/>
      <c r="D1043" s="74"/>
      <c r="E1043" s="74"/>
      <c r="F1043" s="74"/>
      <c r="G1043" s="74"/>
      <c r="H1043" s="74"/>
      <c r="I1043" s="74"/>
    </row>
    <row r="1044" spans="1:9" ht="13" x14ac:dyDescent="0.3">
      <c r="A1044" s="91"/>
      <c r="B1044" s="74"/>
      <c r="C1044" s="74"/>
      <c r="D1044" s="74"/>
      <c r="E1044" s="74"/>
      <c r="F1044" s="74"/>
      <c r="G1044" s="74"/>
      <c r="H1044" s="74"/>
      <c r="I1044" s="74"/>
    </row>
    <row r="1045" spans="1:9" ht="13" x14ac:dyDescent="0.3">
      <c r="A1045" s="91"/>
      <c r="B1045" s="74">
        <v>1</v>
      </c>
      <c r="C1045" s="347" t="str">
        <f>'Unit tariffs'!B36</f>
        <v xml:space="preserve">Prepaid meter (Split) 3 phase - </v>
      </c>
      <c r="D1045" s="74"/>
      <c r="E1045" s="74"/>
      <c r="F1045" s="74"/>
      <c r="G1045" s="74"/>
      <c r="H1045" s="189">
        <f>VLOOKUP($C1045,'Unit tariffs'!$B$21:$F$123,5,FALSE)*$B1045</f>
        <v>0</v>
      </c>
      <c r="I1045" s="189">
        <f>VLOOKUP($C1045,'Unit tariffs'!$B$21:$F$123,5,FALSE)*$B1045</f>
        <v>0</v>
      </c>
    </row>
    <row r="1046" spans="1:9" ht="13" x14ac:dyDescent="0.3">
      <c r="A1046" s="91"/>
      <c r="B1046" s="74">
        <v>3</v>
      </c>
      <c r="C1046" s="74" t="str">
        <f>'Unit tariffs'!B43</f>
        <v>x 80 A circuit breaker (5kA) - Orange</v>
      </c>
      <c r="D1046" s="74"/>
      <c r="E1046" s="74"/>
      <c r="F1046" s="74"/>
      <c r="G1046" s="74"/>
      <c r="H1046" s="76">
        <f>VLOOKUP($C1046,'Unit tariffs'!$B$21:$F$123,5,FALSE)*$B1046</f>
        <v>0</v>
      </c>
      <c r="I1046" s="76">
        <f>VLOOKUP($C1046,'Unit tariffs'!$B$21:$F$123,5,FALSE)*$B1046</f>
        <v>0</v>
      </c>
    </row>
    <row r="1047" spans="1:9" ht="13" x14ac:dyDescent="0.3">
      <c r="A1047" s="91"/>
      <c r="B1047" s="74">
        <v>1</v>
      </c>
      <c r="C1047" s="74" t="str">
        <f>'Unit tariffs'!B72</f>
        <v>Cable clamp (Clampex) - K26</v>
      </c>
      <c r="D1047" s="74"/>
      <c r="E1047" s="74"/>
      <c r="F1047" s="74"/>
      <c r="G1047" s="74"/>
      <c r="H1047" s="76">
        <f>VLOOKUP($C1047,'Unit tariffs'!$B$21:$F$123,5,FALSE)*$B1047</f>
        <v>1423.2410081400001</v>
      </c>
      <c r="I1047" s="76">
        <f>VLOOKUP($C1047,'Unit tariffs'!$B$21:$F$123,5,FALSE)*$B1047</f>
        <v>1423.2410081400001</v>
      </c>
    </row>
    <row r="1048" spans="1:9" ht="13" x14ac:dyDescent="0.3">
      <c r="A1048" s="91"/>
      <c r="B1048" s="74">
        <v>1</v>
      </c>
      <c r="C1048" s="74" t="str">
        <f>'Unit tariffs'!B21</f>
        <v>Installation material</v>
      </c>
      <c r="D1048" s="74"/>
      <c r="E1048" s="74"/>
      <c r="F1048" s="74"/>
      <c r="G1048" s="74"/>
      <c r="H1048" s="81">
        <f>VLOOKUP($C1048,'Unit tariffs'!$B$21:$F$123,5,FALSE)*$B1048</f>
        <v>282.48325</v>
      </c>
      <c r="I1048" s="81">
        <f>VLOOKUP($C1048,'Unit tariffs'!$B$21:$F$123,5,FALSE)*$B1048</f>
        <v>282.48325</v>
      </c>
    </row>
    <row r="1049" spans="1:9" ht="13" x14ac:dyDescent="0.3">
      <c r="A1049" s="91"/>
      <c r="B1049" s="74"/>
      <c r="C1049" s="74"/>
      <c r="D1049" s="74"/>
      <c r="E1049" s="74"/>
      <c r="F1049" s="74"/>
      <c r="G1049" s="74"/>
      <c r="H1049" s="76">
        <f>SUM(H1045:H1048)</f>
        <v>1705.7242581400001</v>
      </c>
      <c r="I1049" s="76">
        <f>SUM(I1045:I1048)</f>
        <v>1705.7242581400001</v>
      </c>
    </row>
    <row r="1050" spans="1:9" ht="13" x14ac:dyDescent="0.3">
      <c r="A1050" s="91"/>
      <c r="B1050" s="104" t="s">
        <v>42</v>
      </c>
      <c r="C1050" s="74"/>
      <c r="D1050" s="74"/>
      <c r="E1050" s="74"/>
      <c r="F1050" s="74"/>
      <c r="G1050" s="74"/>
      <c r="H1050" s="74"/>
      <c r="I1050" s="74"/>
    </row>
    <row r="1051" spans="1:9" ht="13" x14ac:dyDescent="0.3">
      <c r="A1051" s="91"/>
      <c r="B1051" s="74"/>
      <c r="C1051" s="74"/>
      <c r="D1051" s="74"/>
      <c r="E1051" s="74"/>
      <c r="F1051" s="74"/>
      <c r="G1051" s="74"/>
      <c r="H1051" s="74"/>
      <c r="I1051" s="74"/>
    </row>
    <row r="1052" spans="1:9" ht="13" x14ac:dyDescent="0.3">
      <c r="A1052" s="91"/>
      <c r="B1052" s="74">
        <v>1</v>
      </c>
      <c r="C1052" s="74" t="str">
        <f>'Unit tariffs'!B$87</f>
        <v xml:space="preserve">hour-artisan </v>
      </c>
      <c r="D1052" s="74"/>
      <c r="E1052" s="74"/>
      <c r="F1052" s="74"/>
      <c r="G1052" s="74"/>
      <c r="H1052" s="76">
        <f>VLOOKUP($C1052,'Unit tariffs'!$B$21:$F$123,5,FALSE)*$B1052</f>
        <v>351.19276615384621</v>
      </c>
      <c r="I1052" s="76">
        <f>VLOOKUP($C1052,'Unit tariffs'!$B$21:$F$123,5,FALSE)*$B1052</f>
        <v>351.19276615384621</v>
      </c>
    </row>
    <row r="1053" spans="1:9" ht="13" x14ac:dyDescent="0.3">
      <c r="A1053" s="91"/>
      <c r="B1053" s="74">
        <v>1</v>
      </c>
      <c r="C1053" s="74" t="str">
        <f>'Unit tariffs'!B$85</f>
        <v>hour-artisan assistant</v>
      </c>
      <c r="D1053" s="74"/>
      <c r="E1053" s="74"/>
      <c r="F1053" s="74"/>
      <c r="G1053" s="74"/>
      <c r="H1053" s="81">
        <f>VLOOKUP($C1053,'Unit tariffs'!$B$21:$F$123,5,FALSE)*$B1053</f>
        <v>139.82425846153848</v>
      </c>
      <c r="I1053" s="81">
        <f>VLOOKUP($C1053,'Unit tariffs'!$B$21:$F$123,5,FALSE)*$B1053</f>
        <v>139.82425846153848</v>
      </c>
    </row>
    <row r="1054" spans="1:9" ht="13" x14ac:dyDescent="0.3">
      <c r="A1054" s="91"/>
      <c r="B1054" s="74"/>
      <c r="C1054" s="74"/>
      <c r="D1054" s="74"/>
      <c r="E1054" s="74"/>
      <c r="F1054" s="74"/>
      <c r="G1054" s="74"/>
      <c r="H1054" s="76">
        <f>SUM(H1052:H1053)</f>
        <v>491.01702461538468</v>
      </c>
      <c r="I1054" s="76">
        <f>SUM(I1052:I1053)</f>
        <v>491.01702461538468</v>
      </c>
    </row>
    <row r="1055" spans="1:9" ht="13" x14ac:dyDescent="0.3">
      <c r="A1055" s="91"/>
      <c r="B1055" s="104" t="s">
        <v>43</v>
      </c>
      <c r="C1055" s="74"/>
      <c r="D1055" s="74"/>
      <c r="E1055" s="74"/>
      <c r="F1055" s="74"/>
      <c r="G1055" s="74"/>
      <c r="H1055" s="74"/>
      <c r="I1055" s="74"/>
    </row>
    <row r="1056" spans="1:9" ht="13" x14ac:dyDescent="0.3">
      <c r="A1056" s="91"/>
      <c r="B1056" s="74"/>
      <c r="C1056" s="74"/>
      <c r="D1056" s="74"/>
      <c r="E1056" s="74"/>
      <c r="F1056" s="74"/>
      <c r="G1056" s="74"/>
      <c r="H1056" s="74"/>
      <c r="I1056" s="74"/>
    </row>
    <row r="1057" spans="1:9" ht="13" x14ac:dyDescent="0.3">
      <c r="A1057" s="91"/>
      <c r="B1057" s="74">
        <v>12</v>
      </c>
      <c r="C1057" s="74" t="str">
        <f>'Unit tariffs'!B$111</f>
        <v>km-truck with platform</v>
      </c>
      <c r="D1057" s="74"/>
      <c r="E1057" s="74"/>
      <c r="F1057" s="74"/>
      <c r="G1057" s="74"/>
      <c r="H1057" s="76">
        <f>VLOOKUP($C1057,'Unit tariffs'!$B$21:$F$123,5,FALSE)*$B1057</f>
        <v>591.39986090592663</v>
      </c>
      <c r="I1057" s="76">
        <f>VLOOKUP($C1057,'Unit tariffs'!$B$21:$F$123,5,FALSE)*$B1057</f>
        <v>591.39986090592663</v>
      </c>
    </row>
    <row r="1058" spans="1:9" ht="13" x14ac:dyDescent="0.3">
      <c r="A1058" s="91"/>
      <c r="B1058" s="74">
        <v>1</v>
      </c>
      <c r="C1058" s="74" t="str">
        <f>'Unit tariffs'!B$112</f>
        <v>hour-truck with platform</v>
      </c>
      <c r="D1058" s="74"/>
      <c r="E1058" s="74"/>
      <c r="F1058" s="74"/>
      <c r="G1058" s="74"/>
      <c r="H1058" s="76">
        <f>VLOOKUP($C1058,'Unit tariffs'!$B$21:$F$123,5,FALSE)*$B1058</f>
        <v>239.8431204962792</v>
      </c>
      <c r="I1058" s="76">
        <f>VLOOKUP($C1058,'Unit tariffs'!$B$21:$F$123,5,FALSE)*$B1058</f>
        <v>239.8431204962792</v>
      </c>
    </row>
    <row r="1059" spans="1:9" ht="13" x14ac:dyDescent="0.3">
      <c r="A1059" s="91"/>
      <c r="B1059" s="74"/>
      <c r="C1059" s="74"/>
      <c r="D1059" s="74"/>
      <c r="E1059" s="74"/>
      <c r="F1059" s="74"/>
      <c r="G1059" s="74"/>
      <c r="H1059" s="137">
        <f>SUM(H1057:H1058)</f>
        <v>831.24298140220583</v>
      </c>
      <c r="I1059" s="137">
        <f>SUM(I1057:I1058)</f>
        <v>831.24298140220583</v>
      </c>
    </row>
    <row r="1061" spans="1:9" ht="13" x14ac:dyDescent="0.3">
      <c r="A1061" s="91"/>
      <c r="B1061" s="74"/>
      <c r="C1061" s="74"/>
      <c r="D1061" s="74"/>
      <c r="E1061" s="74"/>
      <c r="F1061" s="74"/>
      <c r="G1061" s="74"/>
      <c r="H1061" s="814">
        <f>+H1059+H1054+H1049</f>
        <v>3027.9842641575906</v>
      </c>
      <c r="I1061" s="814">
        <f>+I1059+I1054+I1049</f>
        <v>3027.9842641575906</v>
      </c>
    </row>
    <row r="1062" spans="1:9" ht="13.5" thickBot="1" x14ac:dyDescent="0.35">
      <c r="A1062" s="91"/>
      <c r="B1062" s="104" t="str">
        <f>'Unit tariffs'!$B$7</f>
        <v>Administration Levy (Indirect Cost)</v>
      </c>
      <c r="C1062" s="74"/>
      <c r="D1062" s="106">
        <f>'Unit tariffs'!$C$7</f>
        <v>0.1</v>
      </c>
      <c r="E1062" s="74" t="s">
        <v>311</v>
      </c>
      <c r="F1062" s="186">
        <f>+'Unit tariffs'!$F$7</f>
        <v>10000</v>
      </c>
      <c r="G1062" s="74"/>
      <c r="H1062" s="108">
        <f>IF(H1061*$D1062&gt;='Unit tariffs'!$E$7,'Unit tariffs'!$E$7,H1061*$D1062)</f>
        <v>302.79842641575908</v>
      </c>
      <c r="I1062" s="108">
        <f>IF(I1061*$D1062&gt;='Unit tariffs'!$E$7,'Unit tariffs'!$E$7,I1061*$D1062)</f>
        <v>302.79842641575908</v>
      </c>
    </row>
    <row r="1063" spans="1:9" ht="13.5" thickTop="1" x14ac:dyDescent="0.3">
      <c r="A1063" s="91"/>
      <c r="B1063" s="104" t="s">
        <v>44</v>
      </c>
      <c r="C1063" s="74"/>
      <c r="D1063" s="74"/>
      <c r="E1063" s="74"/>
      <c r="F1063" s="74"/>
      <c r="G1063" s="74"/>
      <c r="H1063" s="109">
        <f>SUM(H1061:H1062)</f>
        <v>3330.7826905733496</v>
      </c>
      <c r="I1063" s="109">
        <f>SUM(I1061:I1062)</f>
        <v>3330.7826905733496</v>
      </c>
    </row>
    <row r="1064" spans="1:9" ht="13" x14ac:dyDescent="0.3">
      <c r="A1064" s="91"/>
      <c r="B1064" s="74"/>
      <c r="C1064" s="74"/>
      <c r="D1064" s="74"/>
      <c r="E1064" s="74"/>
      <c r="F1064" s="74"/>
      <c r="G1064" s="74"/>
      <c r="H1064" s="74"/>
      <c r="I1064" s="74"/>
    </row>
    <row r="1065" spans="1:9" ht="13" x14ac:dyDescent="0.3">
      <c r="A1065" s="91"/>
      <c r="B1065" s="104" t="s">
        <v>45</v>
      </c>
      <c r="C1065" s="74"/>
      <c r="D1065" s="74"/>
      <c r="E1065" s="74"/>
      <c r="F1065" s="74"/>
      <c r="G1065" s="74"/>
      <c r="H1065" s="84">
        <f>ROUND(H1063,-1)</f>
        <v>3330</v>
      </c>
      <c r="I1065" s="84">
        <f>ROUND(I1063,-1)</f>
        <v>3330</v>
      </c>
    </row>
    <row r="1068" spans="1:9" ht="13" x14ac:dyDescent="0.3">
      <c r="H1068" s="112" t="e">
        <f>(H1065-G1065)/G1065</f>
        <v>#DIV/0!</v>
      </c>
      <c r="I1068" s="112">
        <f>(I1065-H1065)/H1065</f>
        <v>0</v>
      </c>
    </row>
    <row r="1070" spans="1:9" ht="27.25" customHeight="1" thickBot="1" x14ac:dyDescent="0.3">
      <c r="A1070" s="717"/>
      <c r="B1070" s="717"/>
      <c r="C1070" s="717"/>
      <c r="D1070" s="717"/>
      <c r="E1070" s="717"/>
      <c r="F1070" s="717"/>
      <c r="G1070" s="717"/>
      <c r="H1070" s="717"/>
      <c r="I1070" s="717"/>
    </row>
    <row r="1071" spans="1:9" ht="13.5" thickTop="1" x14ac:dyDescent="0.3">
      <c r="B1071" s="74" t="s">
        <v>1</v>
      </c>
      <c r="C1071" s="74"/>
      <c r="D1071" s="74"/>
      <c r="E1071" s="74"/>
      <c r="F1071" s="74"/>
      <c r="G1071" s="74"/>
      <c r="H1071" s="74"/>
      <c r="I1071" s="74"/>
    </row>
    <row r="1072" spans="1:9" ht="28" customHeight="1" x14ac:dyDescent="0.3">
      <c r="B1072" s="931" t="s">
        <v>719</v>
      </c>
      <c r="C1072" s="932"/>
      <c r="D1072" s="932"/>
      <c r="E1072" s="932"/>
      <c r="F1072" s="932"/>
      <c r="G1072" s="933"/>
      <c r="H1072" s="806" t="s">
        <v>667</v>
      </c>
      <c r="I1072" s="806" t="s">
        <v>667</v>
      </c>
    </row>
    <row r="1073" spans="2:9" ht="13" x14ac:dyDescent="0.3">
      <c r="B1073" s="74" t="s">
        <v>1</v>
      </c>
      <c r="C1073" s="74"/>
      <c r="D1073" s="74"/>
      <c r="E1073" s="74"/>
      <c r="F1073" s="74"/>
      <c r="G1073" s="74"/>
      <c r="H1073" s="74"/>
      <c r="I1073" s="74"/>
    </row>
    <row r="1074" spans="2:9" ht="13" x14ac:dyDescent="0.3">
      <c r="B1074" s="74"/>
      <c r="C1074" s="74"/>
      <c r="D1074" s="74"/>
      <c r="E1074" s="74"/>
      <c r="F1074" s="74"/>
      <c r="G1074" s="74"/>
      <c r="H1074" s="103" t="str">
        <f>+'Unit tariffs'!$F$11</f>
        <v>2026/2027</v>
      </c>
      <c r="I1074" s="103" t="str">
        <f>+'Unit tariffs'!$F$11</f>
        <v>2026/2027</v>
      </c>
    </row>
    <row r="1075" spans="2:9" ht="13" x14ac:dyDescent="0.3">
      <c r="B1075" s="104" t="s">
        <v>117</v>
      </c>
      <c r="C1075" s="74"/>
      <c r="D1075" s="74"/>
      <c r="E1075" s="74"/>
      <c r="F1075" s="74"/>
      <c r="G1075" s="74"/>
      <c r="H1075" s="74"/>
      <c r="I1075" s="74"/>
    </row>
    <row r="1076" spans="2:9" ht="13" x14ac:dyDescent="0.3">
      <c r="B1076" s="74" t="s">
        <v>118</v>
      </c>
      <c r="C1076" s="74"/>
      <c r="D1076" s="74"/>
      <c r="E1076" s="74"/>
      <c r="F1076" s="74"/>
      <c r="G1076" s="74"/>
      <c r="H1076" s="74"/>
      <c r="I1076" s="74"/>
    </row>
    <row r="1077" spans="2:9" ht="13" x14ac:dyDescent="0.3">
      <c r="B1077" s="74">
        <v>7.5</v>
      </c>
      <c r="C1077" s="74" t="str">
        <f>'Unit tariffs'!B$137</f>
        <v>Primary Backbone - Peri Urban</v>
      </c>
      <c r="D1077" s="74"/>
      <c r="E1077" s="74"/>
      <c r="F1077" s="74" t="str">
        <f>'Unit tariffs'!C$131</f>
        <v>per kVA</v>
      </c>
      <c r="G1077" s="74"/>
      <c r="H1077" s="76">
        <f>VLOOKUP($C1077,'Unit tariffs'!$B$21:$F$155,5,FALSE)*$B1077</f>
        <v>10766.233825231502</v>
      </c>
      <c r="I1077" s="76">
        <f>VLOOKUP($C1077,'Unit tariffs'!$B$21:$F$155,5,FALSE)*$B1077</f>
        <v>10766.233825231502</v>
      </c>
    </row>
    <row r="1078" spans="2:9" ht="13" x14ac:dyDescent="0.3">
      <c r="B1078" s="74">
        <v>7.5</v>
      </c>
      <c r="C1078" s="74" t="str">
        <f>'Unit tariffs'!B$138</f>
        <v>Secondary Backbone - MV Peri Urban</v>
      </c>
      <c r="D1078" s="74"/>
      <c r="E1078" s="74"/>
      <c r="F1078" s="74" t="str">
        <f>'Unit tariffs'!C$132</f>
        <v>per kVA</v>
      </c>
      <c r="G1078" s="74"/>
      <c r="H1078" s="76">
        <f>VLOOKUP($C1078,'Unit tariffs'!$B$21:$F$155,5,FALSE)*$B1078</f>
        <v>9060.0471420112499</v>
      </c>
      <c r="I1078" s="76">
        <f>VLOOKUP($C1078,'Unit tariffs'!$B$21:$F$155,5,FALSE)*$B1078</f>
        <v>9060.0471420112499</v>
      </c>
    </row>
    <row r="1079" spans="2:9" ht="13" x14ac:dyDescent="0.3">
      <c r="B1079" s="74">
        <v>7.5</v>
      </c>
      <c r="C1079" s="74" t="str">
        <f>'Unit tariffs'!B$139</f>
        <v>Secondary Backbone - LV Peri Urban</v>
      </c>
      <c r="D1079" s="74"/>
      <c r="E1079" s="74"/>
      <c r="F1079" s="74" t="str">
        <f>'Unit tariffs'!C$133</f>
        <v>per kVA</v>
      </c>
      <c r="G1079" s="74"/>
      <c r="H1079" s="81">
        <f>VLOOKUP($C1079,'Unit tariffs'!$B$21:$F$155,5,FALSE)*$B1079</f>
        <v>14862.763544244002</v>
      </c>
      <c r="I1079" s="81">
        <f>VLOOKUP($C1079,'Unit tariffs'!$B$21:$F$155,5,FALSE)*$B1079</f>
        <v>14862.763544244002</v>
      </c>
    </row>
    <row r="1080" spans="2:9" ht="13" x14ac:dyDescent="0.3">
      <c r="B1080" s="74"/>
      <c r="C1080" s="74"/>
      <c r="D1080" s="74"/>
      <c r="E1080" s="74"/>
      <c r="F1080" s="74"/>
      <c r="G1080" s="74"/>
      <c r="H1080" s="76">
        <f>SUM(H1077:H1079)</f>
        <v>34689.044511486754</v>
      </c>
      <c r="I1080" s="76">
        <f>SUM(I1077:I1079)</f>
        <v>34689.044511486754</v>
      </c>
    </row>
    <row r="1081" spans="2:9" ht="13" x14ac:dyDescent="0.3">
      <c r="B1081" s="74"/>
      <c r="C1081" s="74"/>
      <c r="D1081" s="74"/>
      <c r="E1081" s="74"/>
      <c r="F1081" s="74"/>
      <c r="G1081" s="74"/>
      <c r="H1081" s="76"/>
      <c r="I1081" s="76"/>
    </row>
    <row r="1082" spans="2:9" ht="13" x14ac:dyDescent="0.3">
      <c r="B1082" s="104" t="s">
        <v>41</v>
      </c>
      <c r="C1082" s="74"/>
      <c r="D1082" s="74"/>
      <c r="E1082" s="74"/>
      <c r="F1082" s="74"/>
      <c r="G1082" s="74"/>
      <c r="H1082" s="76"/>
      <c r="I1082" s="76"/>
    </row>
    <row r="1083" spans="2:9" ht="14.5" x14ac:dyDescent="0.35">
      <c r="B1083" s="74">
        <v>1</v>
      </c>
      <c r="C1083" s="705" t="str">
        <f>'Unit tariffs'!B46</f>
        <v>METER: TIME OF USE 100 AMP</v>
      </c>
      <c r="D1083" s="74"/>
      <c r="E1083" s="74"/>
      <c r="F1083" s="74"/>
      <c r="G1083" s="74"/>
      <c r="H1083" s="76">
        <f>VLOOKUP($C1083,'Unit tariffs'!$B$21:$F$123,5,FALSE)*$B1083</f>
        <v>0</v>
      </c>
      <c r="I1083" s="76">
        <f>VLOOKUP($C1083,'Unit tariffs'!$B$21:$F$123,5,FALSE)*$B1083</f>
        <v>0</v>
      </c>
    </row>
    <row r="1084" spans="2:9" ht="13" x14ac:dyDescent="0.3">
      <c r="B1084" s="74">
        <v>3</v>
      </c>
      <c r="C1084" s="74" t="str">
        <f>'Unit tariffs'!B43</f>
        <v>x 80 A circuit breaker (5kA) - Orange</v>
      </c>
      <c r="D1084" s="74"/>
      <c r="E1084" s="74"/>
      <c r="F1084" s="74"/>
      <c r="G1084" s="74"/>
      <c r="H1084" s="76">
        <f>VLOOKUP($C1084,'Unit tariffs'!$B$21:$F$123,5,FALSE)*$B1084</f>
        <v>0</v>
      </c>
      <c r="I1084" s="76">
        <f>VLOOKUP($C1084,'Unit tariffs'!$B$21:$F$123,5,FALSE)*$B1084</f>
        <v>0</v>
      </c>
    </row>
    <row r="1085" spans="2:9" ht="13" x14ac:dyDescent="0.3">
      <c r="B1085" s="74">
        <v>1</v>
      </c>
      <c r="C1085" s="74" t="str">
        <f>'Unit tariffs'!B21</f>
        <v>Installation material</v>
      </c>
      <c r="D1085" s="74"/>
      <c r="E1085" s="74"/>
      <c r="F1085" s="74"/>
      <c r="G1085" s="74"/>
      <c r="H1085" s="81">
        <f>VLOOKUP($C1085,'Unit tariffs'!$B$21:$F$123,5,FALSE)*$B1085</f>
        <v>282.48325</v>
      </c>
      <c r="I1085" s="81">
        <f>VLOOKUP($C1085,'Unit tariffs'!$B$21:$F$123,5,FALSE)*$B1085</f>
        <v>282.48325</v>
      </c>
    </row>
    <row r="1086" spans="2:9" ht="13" x14ac:dyDescent="0.3">
      <c r="B1086" s="74"/>
      <c r="C1086" s="74"/>
      <c r="D1086" s="74"/>
      <c r="E1086" s="74"/>
      <c r="F1086" s="74"/>
      <c r="G1086" s="76"/>
      <c r="H1086" s="76">
        <f>SUM(H1083:H1085)</f>
        <v>282.48325</v>
      </c>
      <c r="I1086" s="76">
        <f>SUM(I1083:I1085)</f>
        <v>282.48325</v>
      </c>
    </row>
    <row r="1087" spans="2:9" ht="13" x14ac:dyDescent="0.3">
      <c r="B1087" s="74"/>
      <c r="C1087" s="74"/>
      <c r="D1087" s="74"/>
      <c r="E1087" s="74"/>
      <c r="F1087" s="74"/>
      <c r="G1087" s="76"/>
      <c r="H1087" s="76"/>
      <c r="I1087" s="76"/>
    </row>
    <row r="1088" spans="2:9" ht="13" x14ac:dyDescent="0.3">
      <c r="B1088" s="104" t="s">
        <v>42</v>
      </c>
      <c r="C1088" s="74"/>
      <c r="D1088" s="74"/>
      <c r="E1088" s="74"/>
      <c r="F1088" s="74"/>
      <c r="G1088" s="74"/>
    </row>
    <row r="1089" spans="2:9" ht="13" x14ac:dyDescent="0.3">
      <c r="B1089" s="74"/>
      <c r="C1089" s="74"/>
      <c r="D1089" s="74"/>
      <c r="E1089" s="74"/>
      <c r="F1089" s="74"/>
      <c r="G1089" s="74"/>
    </row>
    <row r="1090" spans="2:9" ht="13" x14ac:dyDescent="0.3">
      <c r="B1090" s="74">
        <v>2</v>
      </c>
      <c r="C1090" s="74" t="str">
        <f>'Unit tariffs'!B$87</f>
        <v xml:space="preserve">hour-artisan </v>
      </c>
      <c r="D1090" s="74"/>
      <c r="E1090" s="74"/>
      <c r="F1090" s="74"/>
      <c r="G1090" s="74"/>
      <c r="H1090" s="76">
        <f>VLOOKUP($C1090,'Unit tariffs'!$B$21:$F$123,5,FALSE)*$B1090</f>
        <v>702.38553230769242</v>
      </c>
      <c r="I1090" s="76">
        <f>VLOOKUP($C1090,'Unit tariffs'!$B$21:$F$123,5,FALSE)*$B1090</f>
        <v>702.38553230769242</v>
      </c>
    </row>
    <row r="1091" spans="2:9" ht="13" x14ac:dyDescent="0.3">
      <c r="B1091" s="74">
        <f>+B1090*2</f>
        <v>4</v>
      </c>
      <c r="C1091" s="74" t="str">
        <f>'Unit tariffs'!B$85</f>
        <v>hour-artisan assistant</v>
      </c>
      <c r="D1091" s="74"/>
      <c r="E1091" s="74"/>
      <c r="F1091" s="74"/>
      <c r="G1091" s="74"/>
      <c r="H1091" s="81">
        <f>VLOOKUP($C1091,'Unit tariffs'!$B$21:$F$123,5,FALSE)*$B1091</f>
        <v>559.29703384615391</v>
      </c>
      <c r="I1091" s="81">
        <f>VLOOKUP($C1091,'Unit tariffs'!$B$21:$F$123,5,FALSE)*$B1091</f>
        <v>559.29703384615391</v>
      </c>
    </row>
    <row r="1092" spans="2:9" ht="13" x14ac:dyDescent="0.3">
      <c r="B1092" s="74"/>
      <c r="C1092" s="74"/>
      <c r="D1092" s="74"/>
      <c r="E1092" s="74"/>
      <c r="F1092" s="74"/>
      <c r="G1092" s="74"/>
      <c r="H1092" s="76">
        <f>SUM(H1090:H1091)</f>
        <v>1261.6825661538464</v>
      </c>
      <c r="I1092" s="76">
        <f>SUM(I1090:I1091)</f>
        <v>1261.6825661538464</v>
      </c>
    </row>
    <row r="1093" spans="2:9" ht="13" x14ac:dyDescent="0.3">
      <c r="B1093" s="104" t="s">
        <v>43</v>
      </c>
      <c r="C1093" s="74"/>
      <c r="D1093" s="74"/>
      <c r="E1093" s="74"/>
      <c r="F1093" s="74"/>
      <c r="G1093" s="74"/>
    </row>
    <row r="1094" spans="2:9" ht="13" x14ac:dyDescent="0.3">
      <c r="B1094" s="74"/>
      <c r="C1094" s="74"/>
      <c r="D1094" s="74"/>
      <c r="E1094" s="74"/>
      <c r="F1094" s="74"/>
      <c r="G1094" s="74"/>
    </row>
    <row r="1095" spans="2:9" ht="13" x14ac:dyDescent="0.3">
      <c r="B1095" s="74">
        <v>24</v>
      </c>
      <c r="C1095" s="74" t="str">
        <f>'Unit tariffs'!B$111</f>
        <v>km-truck with platform</v>
      </c>
      <c r="D1095" s="74"/>
      <c r="E1095" s="74"/>
      <c r="F1095" s="74"/>
      <c r="G1095" s="74"/>
      <c r="H1095" s="76">
        <f>VLOOKUP($C1095,'Unit tariffs'!$B$21:$F$123,5,FALSE)*$B1095</f>
        <v>1182.7997218118533</v>
      </c>
      <c r="I1095" s="76">
        <f>VLOOKUP($C1095,'Unit tariffs'!$B$21:$F$123,5,FALSE)*$B1095</f>
        <v>1182.7997218118533</v>
      </c>
    </row>
    <row r="1096" spans="2:9" ht="13" x14ac:dyDescent="0.3">
      <c r="B1096" s="74">
        <v>0.5</v>
      </c>
      <c r="C1096" s="74" t="str">
        <f>'Unit tariffs'!B$112</f>
        <v>hour-truck with platform</v>
      </c>
      <c r="D1096" s="74"/>
      <c r="E1096" s="74"/>
      <c r="F1096" s="74"/>
      <c r="G1096" s="74"/>
      <c r="H1096" s="76">
        <f>VLOOKUP($C1096,'Unit tariffs'!$B$21:$F$123,5,FALSE)*$B1096</f>
        <v>119.9215602481396</v>
      </c>
      <c r="I1096" s="76">
        <f>VLOOKUP($C1096,'Unit tariffs'!$B$21:$F$123,5,FALSE)*$B1096</f>
        <v>119.9215602481396</v>
      </c>
    </row>
    <row r="1097" spans="2:9" ht="13" x14ac:dyDescent="0.3">
      <c r="B1097" s="74"/>
      <c r="C1097" s="74"/>
      <c r="D1097" s="74"/>
      <c r="E1097" s="74"/>
      <c r="F1097" s="74"/>
      <c r="G1097" s="74"/>
      <c r="H1097" s="137">
        <f>SUM(H1095:H1096)</f>
        <v>1302.721282059993</v>
      </c>
      <c r="I1097" s="137">
        <f>SUM(I1095:I1096)</f>
        <v>1302.721282059993</v>
      </c>
    </row>
    <row r="1098" spans="2:9" ht="13" x14ac:dyDescent="0.3">
      <c r="B1098" s="74"/>
      <c r="C1098" s="74"/>
      <c r="D1098" s="74"/>
      <c r="E1098" s="74"/>
      <c r="F1098" s="74"/>
      <c r="G1098" s="76"/>
    </row>
    <row r="1099" spans="2:9" ht="13" x14ac:dyDescent="0.3">
      <c r="G1099" s="76"/>
    </row>
    <row r="1100" spans="2:9" ht="13" x14ac:dyDescent="0.3">
      <c r="B1100" s="104" t="str">
        <f>'Unit tariffs'!$B$7</f>
        <v>Administration Levy (Indirect Cost)</v>
      </c>
      <c r="C1100" s="74"/>
      <c r="D1100" s="106">
        <f>'Unit tariffs'!$C$7</f>
        <v>0.1</v>
      </c>
      <c r="E1100" s="74" t="s">
        <v>311</v>
      </c>
      <c r="F1100" s="186">
        <f>+'Unit tariffs'!$F$7</f>
        <v>10000</v>
      </c>
      <c r="G1100" s="76"/>
      <c r="H1100" s="76">
        <f>+H1097+H1092+H1086+H1080</f>
        <v>37535.931609700594</v>
      </c>
      <c r="I1100" s="76">
        <f>+I1097+I1092+I1086+I1080</f>
        <v>37535.931609700594</v>
      </c>
    </row>
    <row r="1101" spans="2:9" ht="13.5" thickBot="1" x14ac:dyDescent="0.35">
      <c r="B1101" s="104" t="s">
        <v>44</v>
      </c>
      <c r="C1101" s="74"/>
      <c r="D1101" s="74"/>
      <c r="E1101" s="74"/>
      <c r="F1101" s="74"/>
      <c r="G1101" s="76"/>
      <c r="H1101" s="108">
        <f>IF(H1100*$D1100&gt;='Unit tariffs'!$E$7,'Unit tariffs'!$E$7,H1100*$D1100)</f>
        <v>3753.5931609700597</v>
      </c>
      <c r="I1101" s="108">
        <f>IF(I1100*$D1100&gt;='Unit tariffs'!$E$7,'Unit tariffs'!$E$7,I1100*$D1100)</f>
        <v>3753.5931609700597</v>
      </c>
    </row>
    <row r="1102" spans="2:9" ht="13.5" thickTop="1" x14ac:dyDescent="0.3">
      <c r="B1102" s="104"/>
      <c r="C1102" s="74"/>
      <c r="D1102" s="74"/>
      <c r="E1102" s="74"/>
      <c r="F1102" s="74"/>
      <c r="G1102" s="74"/>
      <c r="H1102" s="109">
        <f>SUM(H1100:H1101)</f>
        <v>41289.52477067065</v>
      </c>
      <c r="I1102" s="109">
        <f>SUM(I1100:I1101)</f>
        <v>41289.52477067065</v>
      </c>
    </row>
    <row r="1103" spans="2:9" ht="13" x14ac:dyDescent="0.3">
      <c r="B1103" s="104" t="s">
        <v>45</v>
      </c>
      <c r="C1103" s="74"/>
      <c r="D1103" s="74"/>
      <c r="E1103" s="74"/>
      <c r="F1103" s="74"/>
      <c r="G1103" s="74"/>
      <c r="H1103" s="74"/>
      <c r="I1103" s="74"/>
    </row>
    <row r="1104" spans="2:9" ht="13" x14ac:dyDescent="0.3">
      <c r="B1104" s="74"/>
      <c r="C1104" s="74"/>
      <c r="D1104" s="74"/>
      <c r="E1104" s="74"/>
      <c r="F1104" s="74"/>
      <c r="G1104" s="74"/>
      <c r="H1104" s="84">
        <f>ROUND(H1102,-1)</f>
        <v>41290</v>
      </c>
      <c r="I1104" s="84">
        <f>ROUND(I1102,-1)</f>
        <v>41290</v>
      </c>
    </row>
    <row r="1105" spans="1:9" ht="13" x14ac:dyDescent="0.3">
      <c r="B1105" s="74"/>
      <c r="C1105" s="74"/>
      <c r="D1105" s="74"/>
      <c r="E1105" s="74"/>
      <c r="F1105" s="74"/>
      <c r="G1105" s="74"/>
      <c r="H1105" s="76"/>
      <c r="I1105" s="76"/>
    </row>
    <row r="1106" spans="1:9" ht="13" x14ac:dyDescent="0.3">
      <c r="B1106" s="74"/>
      <c r="C1106" s="74"/>
      <c r="D1106" s="74"/>
      <c r="E1106" s="74"/>
      <c r="F1106" s="74"/>
      <c r="G1106" s="74"/>
      <c r="H1106" s="112" t="e">
        <f>(+H1104-G1104)/G1104</f>
        <v>#DIV/0!</v>
      </c>
      <c r="I1106" s="112">
        <f>(+I1104-H1104)/H1104</f>
        <v>0</v>
      </c>
    </row>
    <row r="1107" spans="1:9" ht="13" x14ac:dyDescent="0.3">
      <c r="B1107" s="74"/>
      <c r="C1107" s="74"/>
      <c r="D1107" s="74"/>
      <c r="E1107" s="74"/>
      <c r="F1107" s="74"/>
      <c r="G1107" s="74"/>
      <c r="H1107" s="112"/>
      <c r="I1107" s="112"/>
    </row>
    <row r="1108" spans="1:9" ht="13.5" thickBot="1" x14ac:dyDescent="0.35">
      <c r="A1108" s="717"/>
      <c r="B1108" s="123"/>
      <c r="C1108" s="123"/>
      <c r="D1108" s="123"/>
      <c r="E1108" s="123"/>
      <c r="F1108" s="123"/>
      <c r="G1108" s="123"/>
      <c r="H1108" s="123"/>
      <c r="I1108" s="123"/>
    </row>
    <row r="1109" spans="1:9" ht="13.5" thickTop="1" x14ac:dyDescent="0.3">
      <c r="B1109" s="134"/>
      <c r="C1109" s="120"/>
      <c r="D1109" s="120"/>
      <c r="E1109" s="120" t="s">
        <v>1</v>
      </c>
      <c r="F1109" s="120"/>
      <c r="G1109" s="120"/>
      <c r="H1109" s="120"/>
      <c r="I1109" s="120"/>
    </row>
    <row r="1110" spans="1:9" ht="24.5" customHeight="1" x14ac:dyDescent="0.3">
      <c r="B1110" s="931" t="s">
        <v>720</v>
      </c>
      <c r="C1110" s="932"/>
      <c r="D1110" s="932"/>
      <c r="E1110" s="932"/>
      <c r="F1110" s="932"/>
      <c r="G1110" s="933"/>
      <c r="H1110" s="807" t="s">
        <v>668</v>
      </c>
      <c r="I1110" s="807" t="s">
        <v>668</v>
      </c>
    </row>
    <row r="1111" spans="1:9" ht="13" x14ac:dyDescent="0.3">
      <c r="B1111" s="74" t="s">
        <v>1</v>
      </c>
      <c r="C1111" s="74"/>
      <c r="D1111" s="74"/>
      <c r="E1111" s="74"/>
      <c r="F1111" s="74"/>
      <c r="G1111" s="74"/>
      <c r="H1111" s="74"/>
      <c r="I1111" s="74"/>
    </row>
    <row r="1112" spans="1:9" ht="13" x14ac:dyDescent="0.3">
      <c r="B1112" s="74"/>
      <c r="C1112" s="74"/>
      <c r="D1112" s="74"/>
      <c r="E1112" s="74"/>
      <c r="F1112" s="74"/>
      <c r="G1112" s="74"/>
      <c r="H1112" s="103" t="str">
        <f>+'Unit tariffs'!$F$11</f>
        <v>2026/2027</v>
      </c>
      <c r="I1112" s="103" t="str">
        <f>+'Unit tariffs'!$F$11</f>
        <v>2026/2027</v>
      </c>
    </row>
    <row r="1113" spans="1:9" ht="13" x14ac:dyDescent="0.3">
      <c r="B1113" s="104" t="s">
        <v>117</v>
      </c>
      <c r="C1113" s="74"/>
      <c r="D1113" s="74"/>
      <c r="E1113" s="74"/>
      <c r="F1113" s="74"/>
      <c r="G1113" s="74"/>
      <c r="H1113" s="76"/>
      <c r="I1113" s="76"/>
    </row>
    <row r="1114" spans="1:9" ht="13" x14ac:dyDescent="0.3">
      <c r="B1114" s="74" t="s">
        <v>118</v>
      </c>
      <c r="C1114" s="74"/>
      <c r="D1114" s="74"/>
      <c r="E1114" s="74"/>
      <c r="F1114" s="74"/>
      <c r="G1114" s="74"/>
    </row>
    <row r="1115" spans="1:9" ht="13" x14ac:dyDescent="0.3">
      <c r="B1115" s="74">
        <v>7.5</v>
      </c>
      <c r="C1115" s="74" t="str">
        <f>'Unit tariffs'!B$133</f>
        <v>Secondary Backbone - LV Urban</v>
      </c>
      <c r="D1115" s="74"/>
      <c r="E1115" s="74"/>
      <c r="F1115" s="74" t="str">
        <f>'Unit tariffs'!C$132</f>
        <v>per kVA</v>
      </c>
      <c r="G1115" s="74"/>
      <c r="H1115" s="76">
        <f>VLOOKUP($C1115,'Unit tariffs'!$B$21:$F$158,5,FALSE)*$B1115</f>
        <v>9272.1027980542531</v>
      </c>
      <c r="I1115" s="76">
        <f>VLOOKUP($C1115,'Unit tariffs'!$B$21:$F$158,5,FALSE)*$B1115</f>
        <v>9272.1027980542531</v>
      </c>
    </row>
    <row r="1116" spans="1:9" ht="13" x14ac:dyDescent="0.3">
      <c r="B1116" s="74">
        <v>7.5</v>
      </c>
      <c r="C1116" s="74" t="str">
        <f>'Unit tariffs'!B$134</f>
        <v>LV Backbone -Urban</v>
      </c>
      <c r="D1116" s="74"/>
      <c r="E1116" s="74"/>
      <c r="F1116" s="74" t="str">
        <f>'Unit tariffs'!C$133</f>
        <v>per kVA</v>
      </c>
      <c r="G1116" s="74"/>
      <c r="H1116" s="81">
        <f>VLOOKUP($C1116,'Unit tariffs'!$B$21:$F$158,5,FALSE)*$B1116</f>
        <v>3856.9929624765</v>
      </c>
      <c r="I1116" s="81">
        <f>VLOOKUP($C1116,'Unit tariffs'!$B$21:$F$158,5,FALSE)*$B1116</f>
        <v>3856.9929624765</v>
      </c>
    </row>
    <row r="1117" spans="1:9" ht="13" x14ac:dyDescent="0.3">
      <c r="B1117" s="74"/>
      <c r="C1117" s="74"/>
      <c r="D1117" s="74"/>
      <c r="E1117" s="74"/>
      <c r="F1117" s="74"/>
      <c r="G1117" s="74"/>
      <c r="H1117" s="76">
        <f>SUM(H1115:H1116)</f>
        <v>13129.095760530752</v>
      </c>
      <c r="I1117" s="76">
        <f>SUM(I1115:I1116)</f>
        <v>13129.095760530752</v>
      </c>
    </row>
    <row r="1118" spans="1:9" ht="13" x14ac:dyDescent="0.3">
      <c r="B1118" s="104" t="s">
        <v>41</v>
      </c>
      <c r="C1118" s="74"/>
      <c r="D1118" s="74"/>
      <c r="E1118" s="74"/>
      <c r="F1118" s="74"/>
      <c r="G1118" s="74"/>
      <c r="H1118" s="76"/>
      <c r="I1118" s="76"/>
    </row>
    <row r="1119" spans="1:9" ht="14.5" x14ac:dyDescent="0.35">
      <c r="B1119" s="74">
        <v>1</v>
      </c>
      <c r="C1119" s="705" t="str">
        <f>'Unit tariffs'!B46</f>
        <v>METER: TIME OF USE 100 AMP</v>
      </c>
      <c r="D1119" s="74"/>
      <c r="E1119" s="74"/>
      <c r="F1119" s="74"/>
      <c r="G1119" s="74"/>
      <c r="H1119" s="76">
        <f>VLOOKUP($C1119,'Unit tariffs'!$B$21:$F$123,5,FALSE)*$B1119</f>
        <v>0</v>
      </c>
      <c r="I1119" s="76">
        <f>VLOOKUP($C1119,'Unit tariffs'!$B$21:$F$123,5,FALSE)*$B1119</f>
        <v>0</v>
      </c>
    </row>
    <row r="1120" spans="1:9" ht="13" x14ac:dyDescent="0.3">
      <c r="B1120" s="74">
        <v>3</v>
      </c>
      <c r="C1120" s="74" t="str">
        <f>'Unit tariffs'!B43</f>
        <v>x 80 A circuit breaker (5kA) - Orange</v>
      </c>
      <c r="D1120" s="74"/>
      <c r="E1120" s="74"/>
      <c r="F1120" s="74"/>
      <c r="G1120" s="74"/>
      <c r="H1120" s="76">
        <f>VLOOKUP($C1120,'Unit tariffs'!$B$21:$F$123,5,FALSE)*$B1120</f>
        <v>0</v>
      </c>
      <c r="I1120" s="76">
        <f>VLOOKUP($C1120,'Unit tariffs'!$B$21:$F$123,5,FALSE)*$B1120</f>
        <v>0</v>
      </c>
    </row>
    <row r="1121" spans="2:9" ht="13" x14ac:dyDescent="0.3">
      <c r="B1121" s="74">
        <v>1</v>
      </c>
      <c r="C1121" s="74" t="str">
        <f>'Unit tariffs'!B21</f>
        <v>Installation material</v>
      </c>
      <c r="D1121" s="74"/>
      <c r="E1121" s="74"/>
      <c r="F1121" s="74"/>
      <c r="G1121" s="74"/>
      <c r="H1121" s="81">
        <f>VLOOKUP($C1121,'Unit tariffs'!$B$21:$F$123,5,FALSE)*$B1121</f>
        <v>282.48325</v>
      </c>
      <c r="I1121" s="81">
        <f>VLOOKUP($C1121,'Unit tariffs'!$B$21:$F$123,5,FALSE)*$B1121</f>
        <v>282.48325</v>
      </c>
    </row>
    <row r="1122" spans="2:9" ht="13" x14ac:dyDescent="0.3">
      <c r="B1122" s="74"/>
      <c r="C1122" s="74"/>
      <c r="D1122" s="74"/>
      <c r="E1122" s="74"/>
      <c r="F1122" s="74"/>
      <c r="G1122" s="76"/>
      <c r="H1122" s="76">
        <f>SUM(H1119:H1121)</f>
        <v>282.48325</v>
      </c>
      <c r="I1122" s="76">
        <f>SUM(I1119:I1121)</f>
        <v>282.48325</v>
      </c>
    </row>
    <row r="1123" spans="2:9" ht="13" x14ac:dyDescent="0.3">
      <c r="B1123" s="104" t="s">
        <v>42</v>
      </c>
      <c r="C1123" s="74"/>
      <c r="D1123" s="74"/>
      <c r="E1123" s="74"/>
      <c r="F1123" s="74"/>
      <c r="G1123" s="74"/>
      <c r="H1123" s="74"/>
      <c r="I1123" s="74"/>
    </row>
    <row r="1124" spans="2:9" ht="13" x14ac:dyDescent="0.3">
      <c r="B1124" s="74">
        <v>2</v>
      </c>
      <c r="C1124" s="74" t="str">
        <f>'Unit tariffs'!B$87</f>
        <v xml:space="preserve">hour-artisan </v>
      </c>
      <c r="D1124" s="74"/>
      <c r="E1124" s="74"/>
      <c r="F1124" s="74"/>
      <c r="G1124" s="74"/>
      <c r="H1124" s="76">
        <f>VLOOKUP($C1124,'Unit tariffs'!$B$21:$F$123,5,FALSE)*$B1124</f>
        <v>702.38553230769242</v>
      </c>
      <c r="I1124" s="76">
        <f>VLOOKUP($C1124,'Unit tariffs'!$B$21:$F$123,5,FALSE)*$B1124</f>
        <v>702.38553230769242</v>
      </c>
    </row>
    <row r="1125" spans="2:9" ht="13" x14ac:dyDescent="0.3">
      <c r="B1125" s="74">
        <f>+B1124*1</f>
        <v>2</v>
      </c>
      <c r="C1125" s="74" t="str">
        <f>'Unit tariffs'!B$85</f>
        <v>hour-artisan assistant</v>
      </c>
      <c r="D1125" s="74"/>
      <c r="E1125" s="74"/>
      <c r="F1125" s="74"/>
      <c r="G1125" s="74"/>
      <c r="H1125" s="81">
        <f>VLOOKUP($C1125,'Unit tariffs'!$B$21:$F$123,5,FALSE)*$B1125</f>
        <v>279.64851692307695</v>
      </c>
      <c r="I1125" s="81">
        <f>VLOOKUP($C1125,'Unit tariffs'!$B$21:$F$123,5,FALSE)*$B1125</f>
        <v>279.64851692307695</v>
      </c>
    </row>
    <row r="1126" spans="2:9" ht="13" x14ac:dyDescent="0.3">
      <c r="B1126" s="74"/>
      <c r="C1126" s="74"/>
      <c r="D1126" s="74"/>
      <c r="E1126" s="74"/>
      <c r="F1126" s="74"/>
      <c r="G1126" s="74"/>
      <c r="H1126" s="76">
        <f>SUM(H1124:I1125)</f>
        <v>1964.0680984615387</v>
      </c>
      <c r="I1126" s="76">
        <f>SUM(I1124:J1125)</f>
        <v>982.03404923076937</v>
      </c>
    </row>
    <row r="1127" spans="2:9" ht="13" x14ac:dyDescent="0.3">
      <c r="B1127" s="104" t="s">
        <v>43</v>
      </c>
      <c r="C1127" s="74"/>
      <c r="D1127" s="74"/>
      <c r="E1127" s="74"/>
      <c r="F1127" s="74"/>
      <c r="G1127" s="74"/>
      <c r="H1127" s="74"/>
      <c r="I1127" s="74"/>
    </row>
    <row r="1128" spans="2:9" ht="13" x14ac:dyDescent="0.3">
      <c r="B1128" s="74">
        <v>24</v>
      </c>
      <c r="C1128" s="74" t="str">
        <f>'Unit tariffs'!B$111</f>
        <v>km-truck with platform</v>
      </c>
      <c r="D1128" s="74"/>
      <c r="E1128" s="74"/>
      <c r="F1128" s="74"/>
      <c r="G1128" s="74"/>
      <c r="H1128" s="76">
        <f>VLOOKUP($C1128,'Unit tariffs'!$B$21:$F$123,5,FALSE)*$B1128</f>
        <v>1182.7997218118533</v>
      </c>
      <c r="I1128" s="76">
        <f>VLOOKUP($C1128,'Unit tariffs'!$B$21:$F$123,5,FALSE)*$B1128</f>
        <v>1182.7997218118533</v>
      </c>
    </row>
    <row r="1129" spans="2:9" ht="13" x14ac:dyDescent="0.3">
      <c r="B1129" s="74">
        <f>+B1124</f>
        <v>2</v>
      </c>
      <c r="C1129" s="74" t="str">
        <f>'Unit tariffs'!B$112</f>
        <v>hour-truck with platform</v>
      </c>
      <c r="D1129" s="74"/>
      <c r="E1129" s="74"/>
      <c r="F1129" s="74"/>
      <c r="G1129" s="74"/>
      <c r="H1129" s="76">
        <f>VLOOKUP($C1129,'Unit tariffs'!$B$21:$F$123,5,FALSE)*$B1129</f>
        <v>479.6862409925584</v>
      </c>
      <c r="I1129" s="76">
        <f>VLOOKUP($C1129,'Unit tariffs'!$B$21:$F$123,5,FALSE)*$B1129</f>
        <v>479.6862409925584</v>
      </c>
    </row>
    <row r="1130" spans="2:9" ht="13" x14ac:dyDescent="0.3">
      <c r="B1130" s="74"/>
      <c r="C1130" s="74"/>
      <c r="D1130" s="74"/>
      <c r="E1130" s="74"/>
      <c r="F1130" s="74"/>
      <c r="G1130" s="74"/>
      <c r="H1130" s="137">
        <f>SUM(H1128:H1129)</f>
        <v>1662.4859628044117</v>
      </c>
      <c r="I1130" s="137">
        <f>SUM(I1128:I1129)</f>
        <v>1662.4859628044117</v>
      </c>
    </row>
    <row r="1133" spans="2:9" ht="13" x14ac:dyDescent="0.3">
      <c r="B1133" s="74"/>
      <c r="C1133" s="74"/>
      <c r="D1133" s="74"/>
      <c r="E1133" s="74"/>
      <c r="F1133" s="74"/>
      <c r="G1133" s="76"/>
      <c r="H1133" s="76">
        <f>+H1130+H1126+H1122+H1117</f>
        <v>17038.133071796703</v>
      </c>
      <c r="I1133" s="76">
        <f>+I1130+I1126+I1122+I1117</f>
        <v>16056.099022565933</v>
      </c>
    </row>
    <row r="1134" spans="2:9" ht="13.5" thickBot="1" x14ac:dyDescent="0.35">
      <c r="B1134" s="104" t="str">
        <f>'Unit tariffs'!$B$7</f>
        <v>Administration Levy (Indirect Cost)</v>
      </c>
      <c r="C1134" s="74"/>
      <c r="D1134" s="106">
        <f>'Unit tariffs'!$C$7</f>
        <v>0.1</v>
      </c>
      <c r="E1134" s="74" t="s">
        <v>311</v>
      </c>
      <c r="F1134" s="186">
        <f>+'Unit tariffs'!$F$7</f>
        <v>10000</v>
      </c>
      <c r="G1134" s="76"/>
      <c r="H1134" s="108">
        <f>IF(H1133*$D1134&gt;='Unit tariffs'!$E$7,'Unit tariffs'!$E$7,H1133*$D1134)</f>
        <v>1703.8133071796703</v>
      </c>
      <c r="I1134" s="108">
        <f>IF(I1133*$D1134&gt;='Unit tariffs'!$E$7,'Unit tariffs'!$E$7,I1133*$D1134)</f>
        <v>1605.6099022565934</v>
      </c>
    </row>
    <row r="1135" spans="2:9" ht="13.5" thickTop="1" x14ac:dyDescent="0.3">
      <c r="B1135" s="104" t="s">
        <v>44</v>
      </c>
      <c r="C1135" s="74"/>
      <c r="D1135" s="74"/>
      <c r="E1135" s="74"/>
      <c r="F1135" s="74"/>
      <c r="G1135" s="76"/>
      <c r="H1135" s="109">
        <f>SUM(H1133:H1134)</f>
        <v>18741.946378976372</v>
      </c>
      <c r="I1135" s="109">
        <f>SUM(I1133:I1134)</f>
        <v>17661.708924822527</v>
      </c>
    </row>
    <row r="1136" spans="2:9" ht="13" x14ac:dyDescent="0.3">
      <c r="B1136" s="104"/>
      <c r="C1136" s="74"/>
      <c r="D1136" s="74"/>
      <c r="E1136" s="74"/>
      <c r="F1136" s="74"/>
      <c r="G1136" s="76"/>
      <c r="H1136" s="74"/>
      <c r="I1136" s="74"/>
    </row>
    <row r="1137" spans="2:9" ht="13" x14ac:dyDescent="0.3">
      <c r="B1137" s="104" t="s">
        <v>45</v>
      </c>
      <c r="C1137" s="74"/>
      <c r="D1137" s="74"/>
      <c r="E1137" s="74"/>
      <c r="F1137" s="74"/>
      <c r="G1137" s="84">
        <v>8130</v>
      </c>
      <c r="H1137" s="84">
        <f>ROUND(H1135,-1)</f>
        <v>18740</v>
      </c>
      <c r="I1137" s="84">
        <f>ROUND(I1135,-1)</f>
        <v>17660</v>
      </c>
    </row>
    <row r="1138" spans="2:9" ht="13" x14ac:dyDescent="0.3">
      <c r="B1138" s="74"/>
      <c r="C1138" s="74"/>
      <c r="D1138" s="74"/>
      <c r="E1138" s="74"/>
      <c r="F1138" s="74"/>
      <c r="G1138" s="74"/>
      <c r="H1138" s="76"/>
      <c r="I1138" s="76"/>
    </row>
    <row r="1139" spans="2:9" ht="13" x14ac:dyDescent="0.3">
      <c r="B1139" s="74"/>
      <c r="C1139" s="74"/>
      <c r="D1139" s="74"/>
      <c r="E1139" s="74"/>
      <c r="F1139" s="74"/>
      <c r="G1139" s="74"/>
      <c r="H1139" s="112">
        <f>(+H1137-G1137)/G1137</f>
        <v>1.3050430504305044</v>
      </c>
      <c r="I1139" s="112">
        <f>(+I1137-H1137)/H1137</f>
        <v>-5.7630736392742798E-2</v>
      </c>
    </row>
    <row r="1140" spans="2:9" ht="13" x14ac:dyDescent="0.3">
      <c r="B1140" s="74"/>
      <c r="C1140" s="74"/>
      <c r="D1140" s="74"/>
      <c r="E1140" s="74"/>
      <c r="F1140" s="74"/>
      <c r="G1140" s="74"/>
      <c r="H1140" s="112"/>
      <c r="I1140" s="112"/>
    </row>
    <row r="1141" spans="2:9" ht="13" thickBot="1" x14ac:dyDescent="0.3">
      <c r="B1141" s="717"/>
      <c r="C1141" s="717"/>
      <c r="D1141" s="717"/>
      <c r="E1141" s="717"/>
      <c r="F1141" s="717"/>
      <c r="G1141" s="717"/>
      <c r="H1141" s="717"/>
      <c r="I1141" s="717"/>
    </row>
    <row r="1142" spans="2:9" ht="13" thickTop="1" x14ac:dyDescent="0.25"/>
    <row r="1145" spans="2:9" ht="38" customHeight="1" x14ac:dyDescent="0.3">
      <c r="B1145" s="931" t="s">
        <v>721</v>
      </c>
      <c r="C1145" s="932"/>
      <c r="D1145" s="932"/>
      <c r="E1145" s="932"/>
      <c r="F1145" s="932"/>
      <c r="G1145" s="933"/>
      <c r="H1145" s="807" t="s">
        <v>667</v>
      </c>
      <c r="I1145" s="807" t="s">
        <v>667</v>
      </c>
    </row>
    <row r="1146" spans="2:9" ht="13" x14ac:dyDescent="0.3">
      <c r="B1146" s="74" t="s">
        <v>1</v>
      </c>
      <c r="C1146" s="74"/>
      <c r="D1146" s="74"/>
      <c r="E1146" s="74"/>
      <c r="F1146" s="74"/>
      <c r="G1146" s="74"/>
      <c r="H1146" s="74"/>
      <c r="I1146" s="74"/>
    </row>
    <row r="1147" spans="2:9" ht="13" x14ac:dyDescent="0.3">
      <c r="B1147" s="74"/>
      <c r="C1147" s="74"/>
      <c r="D1147" s="74"/>
      <c r="E1147" s="74"/>
      <c r="F1147" s="74"/>
      <c r="G1147" s="74"/>
      <c r="H1147" s="128"/>
      <c r="I1147" s="128"/>
    </row>
    <row r="1148" spans="2:9" ht="13" x14ac:dyDescent="0.3">
      <c r="B1148" s="74" t="s">
        <v>1</v>
      </c>
      <c r="C1148" s="74"/>
      <c r="D1148" s="74"/>
      <c r="E1148" s="74"/>
      <c r="F1148" s="74"/>
      <c r="G1148" s="74"/>
      <c r="H1148" s="74"/>
      <c r="I1148" s="74"/>
    </row>
    <row r="1149" spans="2:9" ht="13" x14ac:dyDescent="0.3">
      <c r="B1149" s="74"/>
      <c r="C1149" s="74"/>
      <c r="D1149" s="74"/>
      <c r="E1149" s="74"/>
      <c r="F1149" s="74"/>
      <c r="G1149" s="74"/>
      <c r="H1149" s="103" t="str">
        <f>+'Unit tariffs'!$F$11</f>
        <v>2026/2027</v>
      </c>
      <c r="I1149" s="103" t="str">
        <f>+'Unit tariffs'!$F$11</f>
        <v>2026/2027</v>
      </c>
    </row>
    <row r="1150" spans="2:9" ht="13" x14ac:dyDescent="0.3">
      <c r="B1150" s="104" t="s">
        <v>117</v>
      </c>
      <c r="C1150" s="74"/>
      <c r="D1150" s="74"/>
      <c r="E1150" s="74"/>
      <c r="F1150" s="74"/>
      <c r="G1150" s="74"/>
      <c r="H1150" s="74"/>
      <c r="I1150" s="74"/>
    </row>
    <row r="1151" spans="2:9" ht="13" x14ac:dyDescent="0.3">
      <c r="B1151" s="74" t="s">
        <v>118</v>
      </c>
      <c r="C1151" s="74"/>
      <c r="D1151" s="74"/>
      <c r="E1151" s="74"/>
      <c r="F1151" s="74"/>
      <c r="G1151" s="74"/>
      <c r="H1151" s="74"/>
      <c r="I1151" s="74"/>
    </row>
    <row r="1152" spans="2:9" ht="13" x14ac:dyDescent="0.3">
      <c r="B1152" s="74">
        <v>7.5</v>
      </c>
      <c r="C1152" s="74" t="str">
        <f>'Unit tariffs'!B$137</f>
        <v>Primary Backbone - Peri Urban</v>
      </c>
      <c r="D1152" s="74"/>
      <c r="E1152" s="74"/>
      <c r="F1152" s="74" t="str">
        <f>'Unit tariffs'!C$131</f>
        <v>per kVA</v>
      </c>
      <c r="G1152" s="74"/>
      <c r="H1152" s="76">
        <f>VLOOKUP($C1152,'Unit tariffs'!$B$21:$F$155,5,FALSE)*$B1152</f>
        <v>10766.233825231502</v>
      </c>
      <c r="I1152" s="76">
        <f>VLOOKUP($C1152,'Unit tariffs'!$B$21:$F$155,5,FALSE)*$B1152</f>
        <v>10766.233825231502</v>
      </c>
    </row>
    <row r="1153" spans="2:9" ht="13" x14ac:dyDescent="0.3">
      <c r="B1153" s="74">
        <v>7.5</v>
      </c>
      <c r="C1153" s="74" t="str">
        <f>'Unit tariffs'!B$138</f>
        <v>Secondary Backbone - MV Peri Urban</v>
      </c>
      <c r="D1153" s="74"/>
      <c r="E1153" s="74"/>
      <c r="F1153" s="74" t="str">
        <f>'Unit tariffs'!C$132</f>
        <v>per kVA</v>
      </c>
      <c r="G1153" s="74"/>
      <c r="H1153" s="76">
        <f>VLOOKUP($C1153,'Unit tariffs'!$B$21:$F$155,5,FALSE)*$B1153</f>
        <v>9060.0471420112499</v>
      </c>
      <c r="I1153" s="76">
        <f>VLOOKUP($C1153,'Unit tariffs'!$B$21:$F$155,5,FALSE)*$B1153</f>
        <v>9060.0471420112499</v>
      </c>
    </row>
    <row r="1154" spans="2:9" ht="13" x14ac:dyDescent="0.3">
      <c r="B1154" s="74">
        <v>7.5</v>
      </c>
      <c r="C1154" s="74" t="str">
        <f>'Unit tariffs'!B$139</f>
        <v>Secondary Backbone - LV Peri Urban</v>
      </c>
      <c r="D1154" s="74"/>
      <c r="E1154" s="74"/>
      <c r="F1154" s="74" t="str">
        <f>'Unit tariffs'!C$133</f>
        <v>per kVA</v>
      </c>
      <c r="G1154" s="74"/>
      <c r="H1154" s="81">
        <f>VLOOKUP($C1154,'Unit tariffs'!$B$21:$F$155,5,FALSE)*$B1154</f>
        <v>14862.763544244002</v>
      </c>
      <c r="I1154" s="81">
        <f>VLOOKUP($C1154,'Unit tariffs'!$B$21:$F$155,5,FALSE)*$B1154</f>
        <v>14862.763544244002</v>
      </c>
    </row>
    <row r="1155" spans="2:9" ht="13" x14ac:dyDescent="0.3">
      <c r="B1155" s="74"/>
      <c r="C1155" s="74"/>
      <c r="D1155" s="74"/>
      <c r="E1155" s="74"/>
      <c r="F1155" s="74"/>
      <c r="G1155" s="74"/>
      <c r="H1155" s="76">
        <f>SUM(H1152:H1154)</f>
        <v>34689.044511486754</v>
      </c>
      <c r="I1155" s="76">
        <f>SUM(I1152:I1154)</f>
        <v>34689.044511486754</v>
      </c>
    </row>
    <row r="1156" spans="2:9" ht="13" x14ac:dyDescent="0.3">
      <c r="B1156" s="74"/>
      <c r="C1156" s="74"/>
      <c r="D1156" s="74"/>
      <c r="E1156" s="74"/>
      <c r="F1156" s="74"/>
      <c r="G1156" s="74"/>
      <c r="H1156" s="76"/>
      <c r="I1156" s="76"/>
    </row>
    <row r="1157" spans="2:9" ht="13" x14ac:dyDescent="0.3">
      <c r="B1157" s="104" t="s">
        <v>41</v>
      </c>
      <c r="C1157" s="74"/>
      <c r="D1157" s="74"/>
      <c r="E1157" s="74"/>
      <c r="F1157" s="74"/>
      <c r="G1157" s="74"/>
      <c r="H1157" s="76"/>
      <c r="I1157" s="76"/>
    </row>
    <row r="1158" spans="2:9" ht="14.5" x14ac:dyDescent="0.35">
      <c r="B1158" s="74">
        <v>1</v>
      </c>
      <c r="C1158" s="705" t="str">
        <f>'Unit tariffs'!B46</f>
        <v>METER: TIME OF USE 100 AMP</v>
      </c>
      <c r="D1158" s="74"/>
      <c r="E1158" s="74"/>
      <c r="F1158" s="74"/>
      <c r="G1158" s="74"/>
      <c r="H1158" s="76">
        <f>VLOOKUP($C1158,'Unit tariffs'!$B$21:$F$123,5,FALSE)*$B1158</f>
        <v>0</v>
      </c>
      <c r="I1158" s="76">
        <f>VLOOKUP($C1158,'Unit tariffs'!$B$21:$F$123,5,FALSE)*$B1158</f>
        <v>0</v>
      </c>
    </row>
    <row r="1159" spans="2:9" ht="13" x14ac:dyDescent="0.3">
      <c r="B1159" s="74">
        <v>3</v>
      </c>
      <c r="C1159" s="74" t="str">
        <f>'Unit tariffs'!B43</f>
        <v>x 80 A circuit breaker (5kA) - Orange</v>
      </c>
      <c r="D1159" s="74"/>
      <c r="E1159" s="74"/>
      <c r="F1159" s="74"/>
      <c r="G1159" s="74"/>
      <c r="H1159" s="76">
        <f>VLOOKUP($C1159,'Unit tariffs'!$B$21:$F$123,5,FALSE)*$B1159</f>
        <v>0</v>
      </c>
      <c r="I1159" s="76">
        <f>VLOOKUP($C1159,'Unit tariffs'!$B$21:$F$123,5,FALSE)*$B1159</f>
        <v>0</v>
      </c>
    </row>
    <row r="1160" spans="2:9" ht="13" x14ac:dyDescent="0.3">
      <c r="B1160" s="74">
        <v>1</v>
      </c>
      <c r="C1160" s="74" t="str">
        <f>'Unit tariffs'!B21</f>
        <v>Installation material</v>
      </c>
      <c r="D1160" s="74"/>
      <c r="E1160" s="74"/>
      <c r="F1160" s="74"/>
      <c r="G1160" s="74"/>
      <c r="H1160" s="81">
        <f>VLOOKUP($C1160,'Unit tariffs'!$B$21:$F$123,5,FALSE)*$B1160</f>
        <v>282.48325</v>
      </c>
      <c r="I1160" s="81">
        <f>VLOOKUP($C1160,'Unit tariffs'!$B$21:$F$123,5,FALSE)*$B1160</f>
        <v>282.48325</v>
      </c>
    </row>
    <row r="1161" spans="2:9" ht="13" x14ac:dyDescent="0.3">
      <c r="B1161" s="74"/>
      <c r="C1161" s="74"/>
      <c r="D1161" s="74"/>
      <c r="E1161" s="74"/>
      <c r="F1161" s="74"/>
      <c r="G1161" s="76"/>
      <c r="H1161" s="76">
        <f>SUM(H1158:H1160)</f>
        <v>282.48325</v>
      </c>
      <c r="I1161" s="76">
        <f>SUM(I1158:I1160)</f>
        <v>282.48325</v>
      </c>
    </row>
    <row r="1162" spans="2:9" ht="13" x14ac:dyDescent="0.3">
      <c r="B1162" s="74"/>
      <c r="C1162" s="74"/>
      <c r="D1162" s="74"/>
      <c r="E1162" s="74"/>
      <c r="F1162" s="74"/>
      <c r="G1162" s="76"/>
      <c r="H1162" s="76"/>
      <c r="I1162" s="76"/>
    </row>
    <row r="1163" spans="2:9" ht="13" x14ac:dyDescent="0.3">
      <c r="B1163" s="104" t="s">
        <v>42</v>
      </c>
      <c r="C1163" s="74"/>
      <c r="D1163" s="74"/>
      <c r="E1163" s="74"/>
      <c r="F1163" s="74"/>
      <c r="G1163" s="74"/>
    </row>
    <row r="1164" spans="2:9" ht="13" x14ac:dyDescent="0.3">
      <c r="B1164" s="74"/>
      <c r="C1164" s="74"/>
      <c r="D1164" s="74"/>
      <c r="E1164" s="74"/>
      <c r="F1164" s="74"/>
      <c r="G1164" s="74"/>
    </row>
    <row r="1165" spans="2:9" ht="13" x14ac:dyDescent="0.3">
      <c r="B1165" s="74">
        <v>2</v>
      </c>
      <c r="C1165" s="74" t="str">
        <f>'Unit tariffs'!B$87</f>
        <v xml:space="preserve">hour-artisan </v>
      </c>
      <c r="D1165" s="74"/>
      <c r="E1165" s="74"/>
      <c r="F1165" s="74"/>
      <c r="G1165" s="74"/>
      <c r="H1165" s="76">
        <f>VLOOKUP($C1165,'Unit tariffs'!$B$21:$F$123,5,FALSE)*$B1165</f>
        <v>702.38553230769242</v>
      </c>
      <c r="I1165" s="76">
        <f>VLOOKUP($C1165,'Unit tariffs'!$B$21:$F$123,5,FALSE)*$B1165</f>
        <v>702.38553230769242</v>
      </c>
    </row>
    <row r="1166" spans="2:9" ht="13" x14ac:dyDescent="0.3">
      <c r="B1166" s="74">
        <f>+B1165*2</f>
        <v>4</v>
      </c>
      <c r="C1166" s="74" t="str">
        <f>'Unit tariffs'!B$85</f>
        <v>hour-artisan assistant</v>
      </c>
      <c r="D1166" s="74"/>
      <c r="E1166" s="74"/>
      <c r="F1166" s="74"/>
      <c r="G1166" s="74"/>
      <c r="H1166" s="81">
        <f>VLOOKUP($C1166,'Unit tariffs'!$B$21:$F$123,5,FALSE)*$B1166</f>
        <v>559.29703384615391</v>
      </c>
      <c r="I1166" s="81">
        <f>VLOOKUP($C1166,'Unit tariffs'!$B$21:$F$123,5,FALSE)*$B1166</f>
        <v>559.29703384615391</v>
      </c>
    </row>
    <row r="1167" spans="2:9" ht="13" x14ac:dyDescent="0.3">
      <c r="B1167" s="74"/>
      <c r="C1167" s="74"/>
      <c r="D1167" s="74"/>
      <c r="E1167" s="74"/>
      <c r="F1167" s="74"/>
      <c r="G1167" s="74"/>
      <c r="H1167" s="76">
        <f>SUM(H1165:H1166)</f>
        <v>1261.6825661538464</v>
      </c>
      <c r="I1167" s="76">
        <f>SUM(I1165:I1166)</f>
        <v>1261.6825661538464</v>
      </c>
    </row>
    <row r="1168" spans="2:9" ht="13" x14ac:dyDescent="0.3">
      <c r="B1168" s="104" t="s">
        <v>43</v>
      </c>
      <c r="C1168" s="74"/>
      <c r="D1168" s="74"/>
      <c r="E1168" s="74"/>
      <c r="F1168" s="74"/>
      <c r="G1168" s="74"/>
    </row>
    <row r="1169" spans="2:9" ht="13" x14ac:dyDescent="0.3">
      <c r="B1169" s="74"/>
      <c r="C1169" s="74"/>
      <c r="D1169" s="74"/>
      <c r="E1169" s="74"/>
      <c r="F1169" s="74"/>
      <c r="G1169" s="74"/>
    </row>
    <row r="1170" spans="2:9" ht="13" x14ac:dyDescent="0.3">
      <c r="B1170" s="74">
        <v>24</v>
      </c>
      <c r="C1170" s="74" t="str">
        <f>'Unit tariffs'!B$111</f>
        <v>km-truck with platform</v>
      </c>
      <c r="D1170" s="74"/>
      <c r="E1170" s="74"/>
      <c r="F1170" s="74"/>
      <c r="G1170" s="74"/>
      <c r="H1170" s="76">
        <f>VLOOKUP($C1170,'Unit tariffs'!$B$21:$F$123,5,FALSE)*$B1170</f>
        <v>1182.7997218118533</v>
      </c>
      <c r="I1170" s="76">
        <f>VLOOKUP($C1170,'Unit tariffs'!$B$21:$F$123,5,FALSE)*$B1170</f>
        <v>1182.7997218118533</v>
      </c>
    </row>
    <row r="1171" spans="2:9" ht="13" x14ac:dyDescent="0.3">
      <c r="B1171" s="74">
        <v>0.5</v>
      </c>
      <c r="C1171" s="74" t="str">
        <f>'Unit tariffs'!B$112</f>
        <v>hour-truck with platform</v>
      </c>
      <c r="D1171" s="74"/>
      <c r="E1171" s="74"/>
      <c r="F1171" s="74"/>
      <c r="G1171" s="74"/>
      <c r="H1171" s="76">
        <f>VLOOKUP($C1171,'Unit tariffs'!$B$21:$F$123,5,FALSE)*$B1171</f>
        <v>119.9215602481396</v>
      </c>
      <c r="I1171" s="76">
        <f>VLOOKUP($C1171,'Unit tariffs'!$B$21:$F$123,5,FALSE)*$B1171</f>
        <v>119.9215602481396</v>
      </c>
    </row>
    <row r="1172" spans="2:9" ht="13" x14ac:dyDescent="0.3">
      <c r="B1172" s="74"/>
      <c r="C1172" s="74"/>
      <c r="D1172" s="74"/>
      <c r="E1172" s="74"/>
      <c r="F1172" s="74"/>
      <c r="G1172" s="74"/>
      <c r="H1172" s="137">
        <f>SUM(H1170:H1171)</f>
        <v>1302.721282059993</v>
      </c>
      <c r="I1172" s="137">
        <f>SUM(I1170:I1171)</f>
        <v>1302.721282059993</v>
      </c>
    </row>
    <row r="1173" spans="2:9" ht="13" x14ac:dyDescent="0.3">
      <c r="B1173" s="74"/>
      <c r="C1173" s="74"/>
      <c r="D1173" s="74"/>
      <c r="E1173" s="74"/>
      <c r="F1173" s="74"/>
      <c r="G1173" s="76"/>
    </row>
    <row r="1174" spans="2:9" ht="13" x14ac:dyDescent="0.3">
      <c r="G1174" s="76"/>
    </row>
    <row r="1175" spans="2:9" ht="13" x14ac:dyDescent="0.3">
      <c r="B1175" s="104" t="str">
        <f>'Unit tariffs'!$B$7</f>
        <v>Administration Levy (Indirect Cost)</v>
      </c>
      <c r="C1175" s="74"/>
      <c r="D1175" s="106">
        <f>'Unit tariffs'!$C$7</f>
        <v>0.1</v>
      </c>
      <c r="E1175" s="74" t="s">
        <v>311</v>
      </c>
      <c r="F1175" s="186">
        <f>+'Unit tariffs'!$F$7</f>
        <v>10000</v>
      </c>
      <c r="G1175" s="76"/>
      <c r="H1175" s="76">
        <f>+H1172+H1167+H1161+H1155</f>
        <v>37535.931609700594</v>
      </c>
      <c r="I1175" s="76">
        <f>+I1172+I1167+I1161+I1155</f>
        <v>37535.931609700594</v>
      </c>
    </row>
    <row r="1176" spans="2:9" ht="13.5" thickBot="1" x14ac:dyDescent="0.35">
      <c r="B1176" s="104" t="s">
        <v>44</v>
      </c>
      <c r="C1176" s="74"/>
      <c r="D1176" s="74"/>
      <c r="E1176" s="74"/>
      <c r="F1176" s="74"/>
      <c r="G1176" s="76"/>
      <c r="H1176" s="108">
        <f>IF(H1175*$D1175&gt;='Unit tariffs'!$E$7,'Unit tariffs'!$E$7,H1175*$D1175)</f>
        <v>3753.5931609700597</v>
      </c>
      <c r="I1176" s="108">
        <f>IF(I1175*$D1175&gt;='Unit tariffs'!$E$7,'Unit tariffs'!$E$7,I1175*$D1175)</f>
        <v>3753.5931609700597</v>
      </c>
    </row>
    <row r="1177" spans="2:9" ht="13.5" thickTop="1" x14ac:dyDescent="0.3">
      <c r="B1177" s="104"/>
      <c r="C1177" s="74"/>
      <c r="D1177" s="74"/>
      <c r="E1177" s="74"/>
      <c r="F1177" s="74"/>
      <c r="G1177" s="74"/>
      <c r="H1177" s="109">
        <f>SUM(H1175:H1176)</f>
        <v>41289.52477067065</v>
      </c>
      <c r="I1177" s="109">
        <f>SUM(I1175:I1176)</f>
        <v>41289.52477067065</v>
      </c>
    </row>
    <row r="1178" spans="2:9" ht="13" x14ac:dyDescent="0.3">
      <c r="B1178" s="104" t="s">
        <v>45</v>
      </c>
      <c r="C1178" s="74"/>
      <c r="D1178" s="74"/>
      <c r="E1178" s="74"/>
      <c r="F1178" s="74"/>
      <c r="G1178" s="74"/>
      <c r="H1178" s="74"/>
      <c r="I1178" s="74"/>
    </row>
    <row r="1179" spans="2:9" ht="13" x14ac:dyDescent="0.3">
      <c r="B1179" s="74"/>
      <c r="C1179" s="74"/>
      <c r="D1179" s="74"/>
      <c r="E1179" s="74"/>
      <c r="F1179" s="74"/>
      <c r="G1179" s="74"/>
      <c r="H1179" s="84">
        <f>ROUND(H1177,-1)</f>
        <v>41290</v>
      </c>
      <c r="I1179" s="84">
        <f>ROUND(I1177,-1)</f>
        <v>41290</v>
      </c>
    </row>
    <row r="1180" spans="2:9" ht="13" x14ac:dyDescent="0.3">
      <c r="B1180" s="74"/>
      <c r="C1180" s="74"/>
      <c r="D1180" s="74"/>
      <c r="E1180" s="74"/>
      <c r="F1180" s="74"/>
      <c r="G1180" s="74"/>
      <c r="H1180" s="76"/>
      <c r="I1180" s="76"/>
    </row>
    <row r="1181" spans="2:9" ht="13" x14ac:dyDescent="0.3">
      <c r="B1181" s="74"/>
      <c r="C1181" s="74"/>
      <c r="D1181" s="74"/>
      <c r="E1181" s="74"/>
      <c r="F1181" s="74"/>
      <c r="G1181" s="74"/>
      <c r="H1181" s="112" t="e">
        <f>(+H1179-G1179)/G1179</f>
        <v>#DIV/0!</v>
      </c>
      <c r="I1181" s="112">
        <f>(+I1179-H1179)/H1179</f>
        <v>0</v>
      </c>
    </row>
    <row r="1182" spans="2:9" ht="13" x14ac:dyDescent="0.3">
      <c r="B1182" s="74"/>
      <c r="C1182" s="74"/>
      <c r="D1182" s="74"/>
      <c r="E1182" s="74"/>
      <c r="F1182" s="74"/>
      <c r="G1182" s="74"/>
      <c r="H1182" s="112"/>
      <c r="I1182" s="112"/>
    </row>
    <row r="1183" spans="2:9" ht="13.5" thickBot="1" x14ac:dyDescent="0.35">
      <c r="B1183" s="123"/>
      <c r="C1183" s="123"/>
      <c r="D1183" s="123"/>
      <c r="E1183" s="123"/>
      <c r="F1183" s="123"/>
      <c r="G1183" s="123"/>
      <c r="H1183" s="123"/>
      <c r="I1183" s="123"/>
    </row>
    <row r="1184" spans="2:9" ht="13.5" thickTop="1" x14ac:dyDescent="0.3">
      <c r="B1184" s="134"/>
      <c r="C1184" s="120"/>
      <c r="D1184" s="120"/>
      <c r="E1184" s="120" t="s">
        <v>1</v>
      </c>
      <c r="F1184" s="120"/>
      <c r="G1184" s="120"/>
      <c r="H1184" s="120"/>
      <c r="I1184" s="120"/>
    </row>
    <row r="1185" spans="2:9" ht="27" customHeight="1" x14ac:dyDescent="0.3">
      <c r="B1185" s="931" t="s">
        <v>722</v>
      </c>
      <c r="C1185" s="932"/>
      <c r="D1185" s="932"/>
      <c r="E1185" s="932"/>
      <c r="F1185" s="932"/>
      <c r="G1185" s="933"/>
      <c r="H1185" s="807" t="s">
        <v>669</v>
      </c>
      <c r="I1185" s="807" t="s">
        <v>669</v>
      </c>
    </row>
    <row r="1186" spans="2:9" ht="13" x14ac:dyDescent="0.3">
      <c r="B1186" s="74" t="s">
        <v>1</v>
      </c>
      <c r="C1186" s="74"/>
      <c r="D1186" s="74"/>
      <c r="E1186" s="74"/>
      <c r="F1186" s="74"/>
      <c r="G1186" s="74"/>
      <c r="H1186" s="74"/>
      <c r="I1186" s="74"/>
    </row>
    <row r="1187" spans="2:9" ht="13" x14ac:dyDescent="0.3">
      <c r="B1187" s="74"/>
      <c r="C1187" s="74"/>
      <c r="D1187" s="74"/>
      <c r="E1187" s="74"/>
      <c r="F1187" s="74"/>
      <c r="G1187" s="74"/>
      <c r="H1187" s="103" t="str">
        <f>+'Unit tariffs'!$F$11</f>
        <v>2026/2027</v>
      </c>
      <c r="I1187" s="103" t="str">
        <f>+'Unit tariffs'!$F$11</f>
        <v>2026/2027</v>
      </c>
    </row>
    <row r="1188" spans="2:9" ht="13" x14ac:dyDescent="0.3">
      <c r="B1188" s="104" t="s">
        <v>117</v>
      </c>
      <c r="C1188" s="74"/>
      <c r="D1188" s="74"/>
      <c r="E1188" s="74"/>
      <c r="F1188" s="74"/>
      <c r="G1188" s="74"/>
      <c r="H1188" s="76"/>
      <c r="I1188" s="76"/>
    </row>
    <row r="1189" spans="2:9" ht="13" x14ac:dyDescent="0.3">
      <c r="B1189" s="74" t="s">
        <v>118</v>
      </c>
      <c r="C1189" s="74"/>
      <c r="D1189" s="74"/>
      <c r="E1189" s="74"/>
      <c r="F1189" s="74"/>
      <c r="G1189" s="74"/>
    </row>
    <row r="1190" spans="2:9" ht="13" x14ac:dyDescent="0.3">
      <c r="B1190" s="74">
        <v>7.5</v>
      </c>
      <c r="C1190" s="74" t="str">
        <f>'Unit tariffs'!B$133</f>
        <v>Secondary Backbone - LV Urban</v>
      </c>
      <c r="D1190" s="74"/>
      <c r="E1190" s="74"/>
      <c r="F1190" s="74" t="str">
        <f>'Unit tariffs'!C$132</f>
        <v>per kVA</v>
      </c>
      <c r="G1190" s="74"/>
      <c r="H1190" s="76">
        <f>VLOOKUP($C1190,'Unit tariffs'!$B$21:$F$158,5,FALSE)*$B1190</f>
        <v>9272.1027980542531</v>
      </c>
      <c r="I1190" s="76">
        <f>VLOOKUP($C1190,'Unit tariffs'!$B$21:$F$158,5,FALSE)*$B1190</f>
        <v>9272.1027980542531</v>
      </c>
    </row>
    <row r="1191" spans="2:9" ht="13" x14ac:dyDescent="0.3">
      <c r="B1191" s="74">
        <v>7.5</v>
      </c>
      <c r="C1191" s="74" t="str">
        <f>'Unit tariffs'!B$134</f>
        <v>LV Backbone -Urban</v>
      </c>
      <c r="D1191" s="74"/>
      <c r="E1191" s="74"/>
      <c r="F1191" s="74" t="str">
        <f>'Unit tariffs'!C$133</f>
        <v>per kVA</v>
      </c>
      <c r="G1191" s="74"/>
      <c r="H1191" s="81">
        <f>VLOOKUP($C1191,'Unit tariffs'!$B$21:$F$158,5,FALSE)*$B1191</f>
        <v>3856.9929624765</v>
      </c>
      <c r="I1191" s="81">
        <f>VLOOKUP($C1191,'Unit tariffs'!$B$21:$F$158,5,FALSE)*$B1191</f>
        <v>3856.9929624765</v>
      </c>
    </row>
    <row r="1192" spans="2:9" ht="13" x14ac:dyDescent="0.3">
      <c r="B1192" s="74"/>
      <c r="C1192" s="74"/>
      <c r="D1192" s="74"/>
      <c r="E1192" s="74"/>
      <c r="F1192" s="74"/>
      <c r="G1192" s="74"/>
      <c r="H1192" s="76">
        <f>SUM(H1190:H1191)</f>
        <v>13129.095760530752</v>
      </c>
      <c r="I1192" s="76">
        <f>SUM(I1190:I1191)</f>
        <v>13129.095760530752</v>
      </c>
    </row>
    <row r="1193" spans="2:9" ht="13" x14ac:dyDescent="0.3">
      <c r="B1193" s="104" t="s">
        <v>41</v>
      </c>
      <c r="C1193" s="74"/>
      <c r="D1193" s="74"/>
      <c r="E1193" s="74"/>
      <c r="F1193" s="74"/>
      <c r="G1193" s="74"/>
      <c r="H1193" s="76"/>
      <c r="I1193" s="76"/>
    </row>
    <row r="1194" spans="2:9" ht="14.5" x14ac:dyDescent="0.35">
      <c r="B1194" s="74">
        <v>1</v>
      </c>
      <c r="C1194" s="705" t="str">
        <f>'Unit tariffs'!B46</f>
        <v>METER: TIME OF USE 100 AMP</v>
      </c>
      <c r="D1194" s="74"/>
      <c r="E1194" s="74"/>
      <c r="F1194" s="74"/>
      <c r="G1194" s="74"/>
      <c r="H1194" s="76">
        <f>VLOOKUP($C1194,'Unit tariffs'!$B$21:$F$123,5,FALSE)*$B1194</f>
        <v>0</v>
      </c>
      <c r="I1194" s="76">
        <f>VLOOKUP($C1194,'Unit tariffs'!$B$21:$F$123,5,FALSE)*$B1194</f>
        <v>0</v>
      </c>
    </row>
    <row r="1195" spans="2:9" ht="13" x14ac:dyDescent="0.3">
      <c r="B1195" s="74">
        <v>3</v>
      </c>
      <c r="C1195" s="74" t="str">
        <f>'Unit tariffs'!B43</f>
        <v>x 80 A circuit breaker (5kA) - Orange</v>
      </c>
      <c r="D1195" s="74"/>
      <c r="E1195" s="74"/>
      <c r="F1195" s="74"/>
      <c r="G1195" s="74"/>
      <c r="H1195" s="76">
        <f>VLOOKUP($C1195,'Unit tariffs'!$B$21:$F$123,5,FALSE)*$B1195</f>
        <v>0</v>
      </c>
      <c r="I1195" s="76">
        <f>VLOOKUP($C1195,'Unit tariffs'!$B$21:$F$123,5,FALSE)*$B1195</f>
        <v>0</v>
      </c>
    </row>
    <row r="1196" spans="2:9" ht="13" x14ac:dyDescent="0.3">
      <c r="B1196" s="74">
        <v>1</v>
      </c>
      <c r="C1196" s="74" t="str">
        <f>'Unit tariffs'!B21</f>
        <v>Installation material</v>
      </c>
      <c r="D1196" s="74"/>
      <c r="E1196" s="74"/>
      <c r="F1196" s="74"/>
      <c r="G1196" s="74"/>
      <c r="H1196" s="81">
        <f>VLOOKUP($C1196,'Unit tariffs'!$B$21:$F$123,5,FALSE)*$B1196</f>
        <v>282.48325</v>
      </c>
      <c r="I1196" s="81">
        <f>VLOOKUP($C1196,'Unit tariffs'!$B$21:$F$123,5,FALSE)*$B1196</f>
        <v>282.48325</v>
      </c>
    </row>
    <row r="1197" spans="2:9" ht="13" x14ac:dyDescent="0.3">
      <c r="B1197" s="74"/>
      <c r="C1197" s="74"/>
      <c r="D1197" s="74"/>
      <c r="E1197" s="74"/>
      <c r="F1197" s="74"/>
      <c r="G1197" s="76"/>
      <c r="H1197" s="76">
        <f>SUM(H1194:H1196)</f>
        <v>282.48325</v>
      </c>
      <c r="I1197" s="76">
        <f>SUM(I1194:I1196)</f>
        <v>282.48325</v>
      </c>
    </row>
    <row r="1198" spans="2:9" ht="13" x14ac:dyDescent="0.3">
      <c r="B1198" s="104" t="s">
        <v>42</v>
      </c>
      <c r="C1198" s="74"/>
      <c r="D1198" s="74"/>
      <c r="E1198" s="74"/>
      <c r="F1198" s="74"/>
      <c r="G1198" s="74"/>
      <c r="H1198" s="74"/>
      <c r="I1198" s="74"/>
    </row>
    <row r="1199" spans="2:9" ht="13" x14ac:dyDescent="0.3">
      <c r="B1199" s="74">
        <v>2</v>
      </c>
      <c r="C1199" s="74" t="str">
        <f>'Unit tariffs'!B$87</f>
        <v xml:space="preserve">hour-artisan </v>
      </c>
      <c r="D1199" s="74"/>
      <c r="E1199" s="74"/>
      <c r="F1199" s="74"/>
      <c r="G1199" s="74"/>
      <c r="H1199" s="76">
        <f>VLOOKUP($C1199,'Unit tariffs'!$B$21:$F$123,5,FALSE)*$B1199</f>
        <v>702.38553230769242</v>
      </c>
      <c r="I1199" s="76">
        <f>VLOOKUP($C1199,'Unit tariffs'!$B$21:$F$123,5,FALSE)*$B1199</f>
        <v>702.38553230769242</v>
      </c>
    </row>
    <row r="1200" spans="2:9" ht="13" x14ac:dyDescent="0.3">
      <c r="B1200" s="74">
        <f>+B1199*1</f>
        <v>2</v>
      </c>
      <c r="C1200" s="74" t="str">
        <f>'Unit tariffs'!B$85</f>
        <v>hour-artisan assistant</v>
      </c>
      <c r="D1200" s="74"/>
      <c r="E1200" s="74"/>
      <c r="F1200" s="74"/>
      <c r="G1200" s="74"/>
      <c r="H1200" s="81">
        <f>VLOOKUP($C1200,'Unit tariffs'!$B$21:$F$123,5,FALSE)*$B1200</f>
        <v>279.64851692307695</v>
      </c>
      <c r="I1200" s="81">
        <f>VLOOKUP($C1200,'Unit tariffs'!$B$21:$F$123,5,FALSE)*$B1200</f>
        <v>279.64851692307695</v>
      </c>
    </row>
    <row r="1201" spans="2:9" ht="13" x14ac:dyDescent="0.3">
      <c r="B1201" s="74"/>
      <c r="C1201" s="74"/>
      <c r="D1201" s="74"/>
      <c r="E1201" s="74"/>
      <c r="F1201" s="74"/>
      <c r="G1201" s="74"/>
      <c r="H1201" s="76">
        <f>SUM(H1199:I1200)</f>
        <v>1964.0680984615387</v>
      </c>
      <c r="I1201" s="76">
        <f>SUM(I1199:J1200)</f>
        <v>982.03404923076937</v>
      </c>
    </row>
    <row r="1202" spans="2:9" ht="13" x14ac:dyDescent="0.3">
      <c r="B1202" s="104" t="s">
        <v>43</v>
      </c>
      <c r="C1202" s="74"/>
      <c r="D1202" s="74"/>
      <c r="E1202" s="74"/>
      <c r="F1202" s="74"/>
      <c r="G1202" s="74"/>
      <c r="H1202" s="74"/>
      <c r="I1202" s="74"/>
    </row>
    <row r="1203" spans="2:9" ht="13" x14ac:dyDescent="0.3">
      <c r="B1203" s="74">
        <v>24</v>
      </c>
      <c r="C1203" s="74" t="str">
        <f>'Unit tariffs'!B$111</f>
        <v>km-truck with platform</v>
      </c>
      <c r="D1203" s="74"/>
      <c r="E1203" s="74"/>
      <c r="F1203" s="74"/>
      <c r="G1203" s="74"/>
      <c r="H1203" s="76">
        <f>VLOOKUP($C1203,'Unit tariffs'!$B$21:$F$123,5,FALSE)*$B1203</f>
        <v>1182.7997218118533</v>
      </c>
      <c r="I1203" s="76">
        <f>VLOOKUP($C1203,'Unit tariffs'!$B$21:$F$123,5,FALSE)*$B1203</f>
        <v>1182.7997218118533</v>
      </c>
    </row>
    <row r="1204" spans="2:9" ht="13" x14ac:dyDescent="0.3">
      <c r="B1204" s="74">
        <f>+B1199</f>
        <v>2</v>
      </c>
      <c r="C1204" s="74" t="str">
        <f>'Unit tariffs'!B$112</f>
        <v>hour-truck with platform</v>
      </c>
      <c r="D1204" s="74"/>
      <c r="E1204" s="74"/>
      <c r="F1204" s="74"/>
      <c r="G1204" s="74"/>
      <c r="H1204" s="76">
        <f>VLOOKUP($C1204,'Unit tariffs'!$B$21:$F$123,5,FALSE)*$B1204</f>
        <v>479.6862409925584</v>
      </c>
      <c r="I1204" s="76">
        <f>VLOOKUP($C1204,'Unit tariffs'!$B$21:$F$123,5,FALSE)*$B1204</f>
        <v>479.6862409925584</v>
      </c>
    </row>
    <row r="1205" spans="2:9" ht="13" x14ac:dyDescent="0.3">
      <c r="B1205" s="74"/>
      <c r="C1205" s="74"/>
      <c r="D1205" s="74"/>
      <c r="E1205" s="74"/>
      <c r="F1205" s="74"/>
      <c r="G1205" s="74"/>
      <c r="H1205" s="137">
        <f>SUM(H1203:H1204)</f>
        <v>1662.4859628044117</v>
      </c>
      <c r="I1205" s="137">
        <f>SUM(I1203:I1204)</f>
        <v>1662.4859628044117</v>
      </c>
    </row>
    <row r="1208" spans="2:9" ht="13" x14ac:dyDescent="0.3">
      <c r="B1208" s="74"/>
      <c r="C1208" s="74"/>
      <c r="D1208" s="74"/>
      <c r="E1208" s="74"/>
      <c r="F1208" s="74"/>
      <c r="G1208" s="76"/>
      <c r="H1208" s="76">
        <f>+H1205+H1201+H1197+H1192</f>
        <v>17038.133071796703</v>
      </c>
      <c r="I1208" s="76">
        <f>+I1205+I1201+I1197+I1192</f>
        <v>16056.099022565933</v>
      </c>
    </row>
    <row r="1209" spans="2:9" ht="13.5" thickBot="1" x14ac:dyDescent="0.35">
      <c r="B1209" s="104" t="str">
        <f>'Unit tariffs'!$B$7</f>
        <v>Administration Levy (Indirect Cost)</v>
      </c>
      <c r="C1209" s="74"/>
      <c r="D1209" s="106">
        <f>'Unit tariffs'!$C$7</f>
        <v>0.1</v>
      </c>
      <c r="E1209" s="74" t="s">
        <v>311</v>
      </c>
      <c r="F1209" s="186">
        <f>+'Unit tariffs'!$F$7</f>
        <v>10000</v>
      </c>
      <c r="G1209" s="76"/>
      <c r="H1209" s="108">
        <f>IF(H1208*$D1209&gt;='Unit tariffs'!$E$7,'Unit tariffs'!$E$7,H1208*$D1209)</f>
        <v>1703.8133071796703</v>
      </c>
      <c r="I1209" s="108">
        <f>IF(I1208*$D1209&gt;='Unit tariffs'!$E$7,'Unit tariffs'!$E$7,I1208*$D1209)</f>
        <v>1605.6099022565934</v>
      </c>
    </row>
    <row r="1210" spans="2:9" ht="13.5" thickTop="1" x14ac:dyDescent="0.3">
      <c r="B1210" s="104" t="s">
        <v>44</v>
      </c>
      <c r="C1210" s="74"/>
      <c r="D1210" s="74"/>
      <c r="E1210" s="74"/>
      <c r="F1210" s="74"/>
      <c r="G1210" s="76"/>
      <c r="H1210" s="109">
        <f>SUM(H1208:H1209)</f>
        <v>18741.946378976372</v>
      </c>
      <c r="I1210" s="109">
        <f>SUM(I1208:I1209)</f>
        <v>17661.708924822527</v>
      </c>
    </row>
    <row r="1211" spans="2:9" ht="13" x14ac:dyDescent="0.3">
      <c r="B1211" s="104"/>
      <c r="C1211" s="74"/>
      <c r="D1211" s="74"/>
      <c r="E1211" s="74"/>
      <c r="F1211" s="74"/>
      <c r="G1211" s="76"/>
      <c r="H1211" s="74"/>
      <c r="I1211" s="74"/>
    </row>
    <row r="1212" spans="2:9" ht="13" x14ac:dyDescent="0.3">
      <c r="B1212" s="104" t="s">
        <v>45</v>
      </c>
      <c r="C1212" s="74"/>
      <c r="D1212" s="74"/>
      <c r="E1212" s="74"/>
      <c r="F1212" s="74"/>
      <c r="G1212" s="84">
        <v>8130</v>
      </c>
      <c r="H1212" s="84">
        <f>ROUND(H1210,-1)</f>
        <v>18740</v>
      </c>
      <c r="I1212" s="84">
        <f>ROUND(I1210,-1)</f>
        <v>17660</v>
      </c>
    </row>
    <row r="1213" spans="2:9" ht="13" x14ac:dyDescent="0.3">
      <c r="B1213" s="74"/>
      <c r="C1213" s="74"/>
      <c r="D1213" s="74"/>
      <c r="E1213" s="74"/>
      <c r="F1213" s="74"/>
      <c r="G1213" s="74"/>
      <c r="H1213" s="76"/>
      <c r="I1213" s="76"/>
    </row>
    <row r="1214" spans="2:9" ht="13" x14ac:dyDescent="0.3">
      <c r="B1214" s="74"/>
      <c r="C1214" s="74"/>
      <c r="D1214" s="74"/>
      <c r="E1214" s="74"/>
      <c r="F1214" s="74"/>
      <c r="G1214" s="74"/>
      <c r="H1214" s="112">
        <f>(+H1212-G1212)/G1212</f>
        <v>1.3050430504305044</v>
      </c>
      <c r="I1214" s="112">
        <f>(+I1212-H1212)/H1212</f>
        <v>-5.7630736392742798E-2</v>
      </c>
    </row>
    <row r="1215" spans="2:9" ht="13" thickBot="1" x14ac:dyDescent="0.3">
      <c r="B1215" s="717"/>
      <c r="C1215" s="717"/>
      <c r="D1215" s="717"/>
      <c r="E1215" s="717"/>
      <c r="F1215" s="717"/>
      <c r="G1215" s="717"/>
      <c r="H1215" s="717"/>
      <c r="I1215" s="717"/>
    </row>
    <row r="1216" spans="2:9" ht="13" thickTop="1" x14ac:dyDescent="0.25"/>
    <row r="1217" spans="2:9" ht="29.5" customHeight="1" x14ac:dyDescent="0.3">
      <c r="B1217" s="931" t="s">
        <v>723</v>
      </c>
      <c r="C1217" s="932"/>
      <c r="D1217" s="932"/>
      <c r="E1217" s="932"/>
      <c r="F1217" s="932"/>
      <c r="G1217" s="933"/>
      <c r="H1217" s="807" t="s">
        <v>670</v>
      </c>
      <c r="I1217" s="807" t="s">
        <v>670</v>
      </c>
    </row>
    <row r="1218" spans="2:9" ht="13" x14ac:dyDescent="0.3">
      <c r="B1218" s="74" t="s">
        <v>1</v>
      </c>
      <c r="C1218" s="74"/>
      <c r="D1218" s="74"/>
      <c r="E1218" s="74"/>
      <c r="F1218" s="74"/>
      <c r="G1218" s="74"/>
      <c r="H1218" s="74"/>
      <c r="I1218" s="74"/>
    </row>
    <row r="1219" spans="2:9" ht="13" x14ac:dyDescent="0.3">
      <c r="B1219" s="74" t="s">
        <v>1</v>
      </c>
      <c r="C1219" s="74"/>
      <c r="D1219" s="74"/>
      <c r="E1219" s="74"/>
      <c r="F1219" s="74"/>
      <c r="G1219" s="74"/>
      <c r="H1219" s="103" t="str">
        <f>+'Unit tariffs'!$F$11</f>
        <v>2026/2027</v>
      </c>
      <c r="I1219" s="103" t="str">
        <f>+'Unit tariffs'!$F$11</f>
        <v>2026/2027</v>
      </c>
    </row>
    <row r="1220" spans="2:9" ht="13" x14ac:dyDescent="0.3">
      <c r="B1220" s="74"/>
      <c r="C1220" s="74"/>
      <c r="D1220" s="74"/>
      <c r="E1220" s="74"/>
      <c r="F1220" s="74"/>
      <c r="G1220" s="74"/>
      <c r="H1220" s="127"/>
      <c r="I1220" s="127"/>
    </row>
    <row r="1221" spans="2:9" ht="13" x14ac:dyDescent="0.3">
      <c r="B1221" s="74"/>
      <c r="C1221" s="74"/>
      <c r="D1221" s="74"/>
      <c r="E1221" s="74"/>
      <c r="F1221" s="74"/>
      <c r="G1221" s="74"/>
    </row>
    <row r="1222" spans="2:9" ht="13" x14ac:dyDescent="0.3">
      <c r="B1222" s="104" t="s">
        <v>117</v>
      </c>
      <c r="C1222" s="74"/>
      <c r="D1222" s="74"/>
      <c r="E1222" s="74"/>
      <c r="F1222" s="74"/>
      <c r="G1222" s="74"/>
    </row>
    <row r="1223" spans="2:9" ht="13" x14ac:dyDescent="0.3">
      <c r="B1223" s="104"/>
      <c r="C1223" s="74"/>
      <c r="D1223" s="74"/>
      <c r="E1223" s="74"/>
      <c r="F1223" s="74"/>
      <c r="G1223" s="74"/>
      <c r="H1223" s="128"/>
      <c r="I1223" s="128"/>
    </row>
    <row r="1224" spans="2:9" ht="13" x14ac:dyDescent="0.3">
      <c r="B1224" s="74">
        <v>7.5</v>
      </c>
      <c r="C1224" s="74" t="str">
        <f>'Unit tariffs'!B137</f>
        <v>Primary Backbone - Peri Urban</v>
      </c>
      <c r="D1224" s="74"/>
      <c r="E1224" s="74"/>
      <c r="F1224" s="74" t="str">
        <f>'Unit tariffs'!C$132</f>
        <v>per kVA</v>
      </c>
      <c r="G1224" s="74"/>
      <c r="H1224" s="76">
        <f>VLOOKUP($C1224,'Unit tariffs'!$B$21:$F$158,5,FALSE)*$B1224</f>
        <v>10766.233825231502</v>
      </c>
      <c r="I1224" s="76">
        <f>VLOOKUP($C1224,'Unit tariffs'!$B$21:$F$158,5,FALSE)*$B1224</f>
        <v>10766.233825231502</v>
      </c>
    </row>
    <row r="1225" spans="2:9" ht="13" x14ac:dyDescent="0.3">
      <c r="B1225" s="74">
        <v>7.5</v>
      </c>
      <c r="C1225" s="74" t="str">
        <f>'Unit tariffs'!B$138</f>
        <v>Secondary Backbone - MV Peri Urban</v>
      </c>
      <c r="D1225" s="74"/>
      <c r="E1225" s="74"/>
      <c r="F1225" s="74" t="str">
        <f>'Unit tariffs'!C$132</f>
        <v>per kVA</v>
      </c>
      <c r="G1225" s="74"/>
      <c r="H1225" s="76">
        <f>VLOOKUP($C1225,'Unit tariffs'!$B$21:$F$158,5,FALSE)*$B1225</f>
        <v>9060.0471420112499</v>
      </c>
      <c r="I1225" s="76">
        <f>VLOOKUP($C1225,'Unit tariffs'!$B$21:$F$158,5,FALSE)*$B1225</f>
        <v>9060.0471420112499</v>
      </c>
    </row>
    <row r="1226" spans="2:9" ht="13" x14ac:dyDescent="0.3">
      <c r="B1226" s="74">
        <v>7.5</v>
      </c>
      <c r="C1226" s="74" t="str">
        <f>'Unit tariffs'!B$139</f>
        <v>Secondary Backbone - LV Peri Urban</v>
      </c>
      <c r="D1226" s="74"/>
      <c r="E1226" s="74"/>
      <c r="F1226" s="74" t="str">
        <f>'Unit tariffs'!C$133</f>
        <v>per kVA</v>
      </c>
      <c r="G1226" s="74"/>
      <c r="H1226" s="81">
        <f>VLOOKUP($C1226,'Unit tariffs'!$B$21:$F$158,5,FALSE)*$B1226</f>
        <v>14862.763544244002</v>
      </c>
      <c r="I1226" s="81">
        <f>VLOOKUP($C1226,'Unit tariffs'!$B$21:$F$158,5,FALSE)*$B1226</f>
        <v>14862.763544244002</v>
      </c>
    </row>
    <row r="1227" spans="2:9" ht="13" x14ac:dyDescent="0.3">
      <c r="B1227" s="74"/>
      <c r="C1227" s="74"/>
      <c r="D1227" s="74"/>
      <c r="E1227" s="74"/>
      <c r="F1227" s="74"/>
      <c r="G1227" s="74"/>
      <c r="H1227" s="76">
        <f>SUM(H1224:H1226)</f>
        <v>34689.044511486754</v>
      </c>
      <c r="I1227" s="76">
        <f>SUM(I1224:I1226)</f>
        <v>34689.044511486754</v>
      </c>
    </row>
    <row r="1228" spans="2:9" ht="13" x14ac:dyDescent="0.3">
      <c r="B1228" s="74"/>
      <c r="C1228" s="74"/>
      <c r="D1228" s="74"/>
      <c r="E1228" s="74"/>
      <c r="F1228" s="74"/>
      <c r="G1228" s="74"/>
      <c r="H1228" s="76"/>
      <c r="I1228" s="76"/>
    </row>
    <row r="1229" spans="2:9" ht="13" x14ac:dyDescent="0.3">
      <c r="B1229" s="104" t="s">
        <v>41</v>
      </c>
      <c r="C1229" s="74"/>
      <c r="D1229" s="74"/>
      <c r="E1229" s="74"/>
      <c r="F1229" s="74"/>
      <c r="G1229" s="74"/>
      <c r="H1229" s="74"/>
      <c r="I1229" s="74"/>
    </row>
    <row r="1230" spans="2:9" ht="13" x14ac:dyDescent="0.3">
      <c r="B1230" s="74"/>
      <c r="C1230" s="74"/>
      <c r="D1230" s="74"/>
      <c r="E1230" s="74"/>
      <c r="F1230" s="74"/>
      <c r="G1230" s="74"/>
    </row>
    <row r="1231" spans="2:9" ht="13" x14ac:dyDescent="0.3">
      <c r="B1231" s="74">
        <v>1</v>
      </c>
      <c r="C1231" s="347" t="str">
        <f>'Unit tariffs'!B34</f>
        <v>METER:S/P WIRED PRE-PAID</v>
      </c>
      <c r="D1231" s="74"/>
      <c r="E1231" s="74"/>
      <c r="F1231" s="74"/>
      <c r="G1231" s="74"/>
      <c r="H1231" s="189">
        <f>VLOOKUP($C1231,'Unit tariffs'!$B$21:$F$123,5,FALSE)*$B1231</f>
        <v>2142.3529679999997</v>
      </c>
      <c r="I1231" s="189">
        <f>VLOOKUP($C1231,'Unit tariffs'!$B$21:$F$123,5,FALSE)*$B1231</f>
        <v>2142.3529679999997</v>
      </c>
    </row>
    <row r="1232" spans="2:9" ht="13" x14ac:dyDescent="0.3">
      <c r="B1232" s="74">
        <v>3</v>
      </c>
      <c r="C1232" s="74" t="str">
        <f>'Unit tariffs'!B43</f>
        <v>x 80 A circuit breaker (5kA) - Orange</v>
      </c>
      <c r="D1232" s="74"/>
      <c r="E1232" s="74"/>
      <c r="F1232" s="74"/>
      <c r="G1232" s="74"/>
      <c r="H1232" s="76">
        <f>VLOOKUP($C1232,'Unit tariffs'!$B$21:$F$123,5,FALSE)*$B1232</f>
        <v>0</v>
      </c>
      <c r="I1232" s="76">
        <f>VLOOKUP($C1232,'Unit tariffs'!$B$21:$F$123,5,FALSE)*$B1232</f>
        <v>0</v>
      </c>
    </row>
    <row r="1233" spans="2:9" ht="13" x14ac:dyDescent="0.3">
      <c r="B1233" s="74">
        <v>1</v>
      </c>
      <c r="C1233" s="74" t="str">
        <f>'Unit tariffs'!B72</f>
        <v>Cable clamp (Clampex) - K26</v>
      </c>
      <c r="D1233" s="74"/>
      <c r="E1233" s="74"/>
      <c r="F1233" s="74"/>
      <c r="G1233" s="74"/>
      <c r="H1233" s="76">
        <f>VLOOKUP($C1233,'Unit tariffs'!$B$21:$F$123,5,FALSE)*$B1233</f>
        <v>1423.2410081400001</v>
      </c>
      <c r="I1233" s="76">
        <f>VLOOKUP($C1233,'Unit tariffs'!$B$21:$F$123,5,FALSE)*$B1233</f>
        <v>1423.2410081400001</v>
      </c>
    </row>
    <row r="1234" spans="2:9" ht="13" x14ac:dyDescent="0.3">
      <c r="B1234" s="74">
        <v>1</v>
      </c>
      <c r="C1234" s="74" t="str">
        <f>'Unit tariffs'!B21</f>
        <v>Installation material</v>
      </c>
      <c r="D1234" s="74"/>
      <c r="E1234" s="74"/>
      <c r="F1234" s="74"/>
      <c r="G1234" s="74"/>
      <c r="H1234" s="81">
        <f>VLOOKUP($C1234,'Unit tariffs'!$B$21:$F$123,5,FALSE)*$B1234</f>
        <v>282.48325</v>
      </c>
      <c r="I1234" s="81">
        <f>VLOOKUP($C1234,'Unit tariffs'!$B$21:$F$123,5,FALSE)*$B1234</f>
        <v>282.48325</v>
      </c>
    </row>
    <row r="1235" spans="2:9" ht="13" x14ac:dyDescent="0.3">
      <c r="B1235" s="74"/>
      <c r="C1235" s="74"/>
      <c r="D1235" s="74"/>
      <c r="E1235" s="74"/>
      <c r="F1235" s="74"/>
      <c r="G1235" s="74"/>
      <c r="H1235" s="76">
        <f>SUM(H1231:H1234)</f>
        <v>3848.0772261399998</v>
      </c>
      <c r="I1235" s="76">
        <f>SUM(I1231:I1234)</f>
        <v>3848.0772261399998</v>
      </c>
    </row>
    <row r="1236" spans="2:9" ht="13" x14ac:dyDescent="0.3">
      <c r="B1236" s="104" t="s">
        <v>42</v>
      </c>
      <c r="C1236" s="74"/>
      <c r="D1236" s="74"/>
      <c r="E1236" s="74"/>
      <c r="F1236" s="74"/>
      <c r="G1236" s="74"/>
      <c r="H1236" s="74"/>
      <c r="I1236" s="74"/>
    </row>
    <row r="1237" spans="2:9" ht="13" x14ac:dyDescent="0.3">
      <c r="B1237" s="74"/>
      <c r="C1237" s="74"/>
      <c r="D1237" s="74"/>
      <c r="E1237" s="74"/>
      <c r="F1237" s="74"/>
      <c r="G1237" s="74"/>
    </row>
    <row r="1238" spans="2:9" ht="13" x14ac:dyDescent="0.3">
      <c r="B1238" s="74">
        <v>1</v>
      </c>
      <c r="C1238" s="74" t="str">
        <f>'Unit tariffs'!B$87</f>
        <v xml:space="preserve">hour-artisan </v>
      </c>
      <c r="D1238" s="74"/>
      <c r="E1238" s="74"/>
      <c r="F1238" s="74"/>
      <c r="G1238" s="74"/>
      <c r="H1238" s="76">
        <f>VLOOKUP($C1238,'Unit tariffs'!$B$21:$F$123,5,FALSE)*$B1238</f>
        <v>351.19276615384621</v>
      </c>
      <c r="I1238" s="76">
        <f>VLOOKUP($C1238,'Unit tariffs'!$B$21:$F$123,5,FALSE)*$B1238</f>
        <v>351.19276615384621</v>
      </c>
    </row>
    <row r="1239" spans="2:9" ht="13" x14ac:dyDescent="0.3">
      <c r="B1239" s="74">
        <v>1</v>
      </c>
      <c r="C1239" s="74" t="str">
        <f>'Unit tariffs'!B$85</f>
        <v>hour-artisan assistant</v>
      </c>
      <c r="D1239" s="74"/>
      <c r="E1239" s="74"/>
      <c r="F1239" s="74"/>
      <c r="G1239" s="74"/>
      <c r="H1239" s="81">
        <f>VLOOKUP($C1239,'Unit tariffs'!$B$21:$F$123,5,FALSE)*$B1239</f>
        <v>139.82425846153848</v>
      </c>
      <c r="I1239" s="81">
        <f>VLOOKUP($C1239,'Unit tariffs'!$B$21:$F$123,5,FALSE)*$B1239</f>
        <v>139.82425846153848</v>
      </c>
    </row>
    <row r="1240" spans="2:9" ht="13" x14ac:dyDescent="0.3">
      <c r="B1240" s="74"/>
      <c r="C1240" s="74"/>
      <c r="D1240" s="74"/>
      <c r="E1240" s="74"/>
      <c r="F1240" s="74"/>
      <c r="G1240" s="74"/>
      <c r="H1240" s="76">
        <f>SUM(H1238:H1239)</f>
        <v>491.01702461538468</v>
      </c>
      <c r="I1240" s="76">
        <f>SUM(I1238:I1239)</f>
        <v>491.01702461538468</v>
      </c>
    </row>
    <row r="1241" spans="2:9" ht="13" x14ac:dyDescent="0.3">
      <c r="B1241" s="104" t="s">
        <v>43</v>
      </c>
      <c r="C1241" s="74"/>
      <c r="D1241" s="74"/>
      <c r="E1241" s="74"/>
      <c r="F1241" s="74"/>
      <c r="G1241" s="74"/>
      <c r="H1241" s="74"/>
      <c r="I1241" s="74"/>
    </row>
    <row r="1242" spans="2:9" ht="13" x14ac:dyDescent="0.3">
      <c r="B1242" s="74"/>
      <c r="C1242" s="74"/>
      <c r="D1242" s="74"/>
      <c r="E1242" s="74"/>
      <c r="F1242" s="74"/>
      <c r="G1242" s="74"/>
      <c r="H1242" s="74"/>
      <c r="I1242" s="74"/>
    </row>
    <row r="1243" spans="2:9" ht="13" x14ac:dyDescent="0.3">
      <c r="B1243" s="74">
        <v>24</v>
      </c>
      <c r="C1243" s="74" t="str">
        <f>'Unit tariffs'!B$111</f>
        <v>km-truck with platform</v>
      </c>
      <c r="D1243" s="74"/>
      <c r="E1243" s="74"/>
      <c r="F1243" s="74"/>
      <c r="G1243" s="74"/>
      <c r="H1243" s="76">
        <f>VLOOKUP($C1243,'Unit tariffs'!$B$21:$F$123,5,FALSE)*$B1243</f>
        <v>1182.7997218118533</v>
      </c>
      <c r="I1243" s="76">
        <f>VLOOKUP($C1243,'Unit tariffs'!$B$21:$F$123,5,FALSE)*$B1243</f>
        <v>1182.7997218118533</v>
      </c>
    </row>
    <row r="1244" spans="2:9" ht="13" x14ac:dyDescent="0.3">
      <c r="B1244" s="74">
        <v>1</v>
      </c>
      <c r="C1244" s="74" t="str">
        <f>'Unit tariffs'!B$112</f>
        <v>hour-truck with platform</v>
      </c>
      <c r="D1244" s="74"/>
      <c r="E1244" s="74"/>
      <c r="F1244" s="74"/>
      <c r="G1244" s="74"/>
      <c r="H1244" s="76">
        <f>VLOOKUP($C1244,'Unit tariffs'!$B$21:$F$123,5,FALSE)*$B1244</f>
        <v>239.8431204962792</v>
      </c>
      <c r="I1244" s="76">
        <f>VLOOKUP($C1244,'Unit tariffs'!$B$21:$F$123,5,FALSE)*$B1244</f>
        <v>239.8431204962792</v>
      </c>
    </row>
    <row r="1245" spans="2:9" ht="13" x14ac:dyDescent="0.3">
      <c r="B1245" s="74"/>
      <c r="C1245" s="74"/>
      <c r="D1245" s="74"/>
      <c r="E1245" s="74"/>
      <c r="F1245" s="74"/>
      <c r="G1245" s="74"/>
      <c r="H1245" s="137">
        <f>SUM(H1243:H1244)</f>
        <v>1422.6428423081325</v>
      </c>
      <c r="I1245" s="137">
        <f>SUM(I1243:I1244)</f>
        <v>1422.6428423081325</v>
      </c>
    </row>
    <row r="1248" spans="2:9" ht="13" x14ac:dyDescent="0.3">
      <c r="B1248" s="74"/>
      <c r="C1248" s="74"/>
      <c r="D1248" s="74"/>
      <c r="E1248" s="74"/>
      <c r="F1248" s="74"/>
      <c r="G1248" s="74"/>
      <c r="H1248" s="76">
        <f>+H1245+H1240+H1235+H1227</f>
        <v>40450.78160455027</v>
      </c>
      <c r="I1248" s="76">
        <f>+I1245+I1240+I1235+I1227</f>
        <v>40450.78160455027</v>
      </c>
    </row>
    <row r="1249" spans="2:9" ht="13.5" thickBot="1" x14ac:dyDescent="0.35">
      <c r="B1249" s="104" t="str">
        <f>'Unit tariffs'!$B$7</f>
        <v>Administration Levy (Indirect Cost)</v>
      </c>
      <c r="C1249" s="74"/>
      <c r="D1249" s="106">
        <f>'Unit tariffs'!$C$7</f>
        <v>0.1</v>
      </c>
      <c r="E1249" s="74" t="s">
        <v>311</v>
      </c>
      <c r="F1249" s="186">
        <f>+'Unit tariffs'!$F$7</f>
        <v>10000</v>
      </c>
      <c r="G1249" s="74"/>
      <c r="H1249" s="108">
        <f>IF(H1248*$D1249&gt;='Unit tariffs'!$E$7,'Unit tariffs'!$E$7,H1248*$D1249)</f>
        <v>4045.078160455027</v>
      </c>
      <c r="I1249" s="108">
        <f>IF(I1248*$D1249&gt;='Unit tariffs'!$E$7,'Unit tariffs'!$E$7,I1248*$D1249)</f>
        <v>4045.078160455027</v>
      </c>
    </row>
    <row r="1250" spans="2:9" ht="13.5" thickTop="1" x14ac:dyDescent="0.3">
      <c r="B1250" s="104" t="s">
        <v>44</v>
      </c>
      <c r="C1250" s="74"/>
      <c r="D1250" s="74"/>
      <c r="E1250" s="74"/>
      <c r="F1250" s="74"/>
      <c r="G1250" s="74"/>
      <c r="H1250" s="109">
        <f>SUM(H1248:H1249)</f>
        <v>44495.859765005298</v>
      </c>
      <c r="I1250" s="109">
        <f>SUM(I1248:I1249)</f>
        <v>44495.859765005298</v>
      </c>
    </row>
    <row r="1251" spans="2:9" ht="13" x14ac:dyDescent="0.3">
      <c r="B1251" s="74"/>
      <c r="C1251" s="74"/>
      <c r="D1251" s="74"/>
      <c r="E1251" s="74"/>
      <c r="F1251" s="74"/>
      <c r="G1251" s="74"/>
      <c r="H1251" s="74"/>
      <c r="I1251" s="74"/>
    </row>
    <row r="1252" spans="2:9" ht="13" x14ac:dyDescent="0.3">
      <c r="B1252" s="104" t="s">
        <v>45</v>
      </c>
      <c r="C1252" s="74"/>
      <c r="D1252" s="74"/>
      <c r="E1252" s="74"/>
      <c r="F1252" s="74"/>
      <c r="G1252" s="74"/>
      <c r="H1252" s="84">
        <f>ROUND(H1250,-1)</f>
        <v>44500</v>
      </c>
      <c r="I1252" s="84">
        <f>ROUND(I1250,-1)</f>
        <v>44500</v>
      </c>
    </row>
    <row r="1253" spans="2:9" ht="13" x14ac:dyDescent="0.3">
      <c r="B1253" s="74"/>
      <c r="C1253" s="74"/>
      <c r="D1253" s="74"/>
      <c r="E1253" s="74"/>
      <c r="F1253" s="74"/>
      <c r="G1253" s="74"/>
      <c r="H1253" s="76"/>
      <c r="I1253" s="76"/>
    </row>
    <row r="1254" spans="2:9" ht="13" x14ac:dyDescent="0.3">
      <c r="B1254" s="74"/>
      <c r="C1254" s="74"/>
      <c r="D1254" s="74"/>
      <c r="E1254" s="74"/>
      <c r="F1254" s="74"/>
      <c r="G1254" s="74"/>
      <c r="H1254" s="76"/>
      <c r="I1254" s="76"/>
    </row>
    <row r="1255" spans="2:9" ht="13" x14ac:dyDescent="0.3">
      <c r="B1255" s="74"/>
      <c r="C1255" s="74"/>
      <c r="D1255" s="74"/>
      <c r="E1255" s="74"/>
      <c r="F1255" s="74"/>
      <c r="G1255" s="74"/>
      <c r="H1255" s="112" t="e">
        <f>(H1252-G1252)/G1252</f>
        <v>#DIV/0!</v>
      </c>
      <c r="I1255" s="112">
        <f>(I1252-H1252)/H1252</f>
        <v>0</v>
      </c>
    </row>
    <row r="1256" spans="2:9" ht="13.5" thickBot="1" x14ac:dyDescent="0.35">
      <c r="B1256" s="123"/>
      <c r="C1256" s="123"/>
      <c r="D1256" s="123"/>
      <c r="E1256" s="123"/>
      <c r="F1256" s="123"/>
      <c r="G1256" s="123"/>
      <c r="H1256" s="123"/>
      <c r="I1256" s="123"/>
    </row>
    <row r="1257" spans="2:9" ht="13.5" thickTop="1" x14ac:dyDescent="0.3">
      <c r="B1257" s="74"/>
      <c r="C1257" s="74"/>
      <c r="D1257" s="74"/>
      <c r="E1257" s="74"/>
      <c r="F1257" s="74"/>
      <c r="G1257" s="74"/>
      <c r="H1257" s="74"/>
      <c r="I1257" s="74"/>
    </row>
    <row r="1258" spans="2:9" ht="13" x14ac:dyDescent="0.3">
      <c r="B1258" s="74" t="s">
        <v>1</v>
      </c>
      <c r="C1258" s="74"/>
      <c r="D1258" s="74"/>
      <c r="E1258" s="74"/>
      <c r="F1258" s="74"/>
      <c r="G1258" s="74"/>
      <c r="H1258" s="100"/>
      <c r="I1258" s="100"/>
    </row>
    <row r="1259" spans="2:9" ht="29" customHeight="1" x14ac:dyDescent="0.3">
      <c r="B1259" s="931" t="s">
        <v>724</v>
      </c>
      <c r="C1259" s="932"/>
      <c r="D1259" s="932"/>
      <c r="E1259" s="932"/>
      <c r="F1259" s="932"/>
      <c r="G1259" s="933"/>
      <c r="H1259" s="807" t="s">
        <v>668</v>
      </c>
      <c r="I1259" s="807" t="s">
        <v>668</v>
      </c>
    </row>
    <row r="1260" spans="2:9" ht="13" x14ac:dyDescent="0.3">
      <c r="B1260" s="74" t="s">
        <v>1</v>
      </c>
      <c r="C1260" s="74"/>
      <c r="D1260" s="74"/>
      <c r="E1260" s="74"/>
      <c r="F1260" s="74"/>
      <c r="G1260" s="74"/>
      <c r="H1260" s="74"/>
      <c r="I1260" s="74"/>
    </row>
    <row r="1261" spans="2:9" ht="13" x14ac:dyDescent="0.3">
      <c r="B1261" s="74" t="s">
        <v>1</v>
      </c>
      <c r="C1261" s="74"/>
      <c r="D1261" s="74"/>
      <c r="E1261" s="74"/>
      <c r="F1261" s="74"/>
      <c r="G1261" s="74"/>
      <c r="H1261" s="103" t="str">
        <f>+'Unit tariffs'!$F$11</f>
        <v>2026/2027</v>
      </c>
      <c r="I1261" s="103" t="str">
        <f>+'Unit tariffs'!$F$11</f>
        <v>2026/2027</v>
      </c>
    </row>
    <row r="1262" spans="2:9" ht="13" x14ac:dyDescent="0.3">
      <c r="B1262" s="104" t="s">
        <v>117</v>
      </c>
      <c r="C1262" s="74"/>
      <c r="D1262" s="74"/>
      <c r="E1262" s="74"/>
      <c r="F1262" s="74"/>
      <c r="G1262" s="74"/>
      <c r="H1262" s="127"/>
      <c r="I1262" s="127"/>
    </row>
    <row r="1263" spans="2:9" ht="13" x14ac:dyDescent="0.3">
      <c r="B1263" s="74" t="s">
        <v>118</v>
      </c>
      <c r="C1263" s="74"/>
      <c r="D1263" s="74"/>
      <c r="E1263" s="74"/>
      <c r="F1263" s="74"/>
      <c r="G1263" s="74"/>
      <c r="H1263" s="127"/>
      <c r="I1263" s="127"/>
    </row>
    <row r="1264" spans="2:9" ht="13" x14ac:dyDescent="0.3">
      <c r="B1264" s="74">
        <v>7.5</v>
      </c>
      <c r="C1264" s="74" t="str">
        <f>'Unit tariffs'!B$138</f>
        <v>Secondary Backbone - MV Peri Urban</v>
      </c>
      <c r="D1264" s="74"/>
      <c r="E1264" s="74"/>
      <c r="F1264" s="74" t="str">
        <f>'Unit tariffs'!C$132</f>
        <v>per kVA</v>
      </c>
      <c r="G1264" s="74"/>
      <c r="H1264" s="76">
        <f>VLOOKUP($C1264,'Unit tariffs'!$B$21:$F$158,5,FALSE)*$B1264</f>
        <v>9060.0471420112499</v>
      </c>
      <c r="I1264" s="76">
        <f>VLOOKUP($C1264,'Unit tariffs'!$B$21:$F$158,5,FALSE)*$B1264</f>
        <v>9060.0471420112499</v>
      </c>
    </row>
    <row r="1265" spans="2:9" ht="13" x14ac:dyDescent="0.3">
      <c r="B1265" s="74">
        <v>7.5</v>
      </c>
      <c r="C1265" s="74" t="str">
        <f>'Unit tariffs'!B$139</f>
        <v>Secondary Backbone - LV Peri Urban</v>
      </c>
      <c r="D1265" s="74"/>
      <c r="E1265" s="74"/>
      <c r="F1265" s="74" t="str">
        <f>'Unit tariffs'!C$133</f>
        <v>per kVA</v>
      </c>
      <c r="G1265" s="74"/>
      <c r="H1265" s="81">
        <f>VLOOKUP($C1265,'Unit tariffs'!$B$21:$F$158,5,FALSE)*$B1265</f>
        <v>14862.763544244002</v>
      </c>
      <c r="I1265" s="81">
        <f>VLOOKUP($C1265,'Unit tariffs'!$B$21:$F$158,5,FALSE)*$B1265</f>
        <v>14862.763544244002</v>
      </c>
    </row>
    <row r="1266" spans="2:9" ht="13" x14ac:dyDescent="0.3">
      <c r="G1266" s="74"/>
      <c r="H1266" s="76">
        <f>SUM(H1264:H1265)</f>
        <v>23922.810686255252</v>
      </c>
      <c r="I1266" s="76">
        <f>SUM(I1264:I1265)</f>
        <v>23922.810686255252</v>
      </c>
    </row>
    <row r="1267" spans="2:9" ht="13" x14ac:dyDescent="0.3">
      <c r="B1267" s="74"/>
      <c r="C1267" s="74"/>
      <c r="D1267" s="74"/>
      <c r="E1267" s="74"/>
      <c r="F1267" s="74"/>
      <c r="G1267" s="74"/>
      <c r="H1267" s="76"/>
      <c r="I1267" s="76"/>
    </row>
    <row r="1268" spans="2:9" ht="13" x14ac:dyDescent="0.3">
      <c r="B1268" s="104" t="s">
        <v>41</v>
      </c>
      <c r="C1268" s="74"/>
      <c r="D1268" s="74"/>
      <c r="E1268" s="74"/>
      <c r="F1268" s="74"/>
      <c r="G1268" s="74"/>
      <c r="H1268" s="74"/>
      <c r="I1268" s="74"/>
    </row>
    <row r="1269" spans="2:9" ht="13" x14ac:dyDescent="0.3">
      <c r="B1269" s="74"/>
      <c r="C1269" s="74"/>
      <c r="D1269" s="74"/>
      <c r="E1269" s="74"/>
      <c r="F1269" s="74"/>
      <c r="G1269" s="74"/>
      <c r="H1269" s="74"/>
      <c r="I1269" s="74"/>
    </row>
    <row r="1270" spans="2:9" ht="13" x14ac:dyDescent="0.3">
      <c r="B1270" s="74">
        <v>1</v>
      </c>
      <c r="C1270" s="347" t="str">
        <f>'Unit tariffs'!B34</f>
        <v>METER:S/P WIRED PRE-PAID</v>
      </c>
      <c r="D1270" s="74"/>
      <c r="E1270" s="74"/>
      <c r="F1270" s="74"/>
      <c r="G1270" s="74"/>
      <c r="H1270" s="189">
        <f>VLOOKUP($C1270,'Unit tariffs'!$B$21:$F$123,5,FALSE)*$B1270</f>
        <v>2142.3529679999997</v>
      </c>
      <c r="I1270" s="189">
        <f>VLOOKUP($C1270,'Unit tariffs'!$B$21:$F$123,5,FALSE)*$B1270</f>
        <v>2142.3529679999997</v>
      </c>
    </row>
    <row r="1271" spans="2:9" ht="13" x14ac:dyDescent="0.3">
      <c r="B1271" s="74">
        <v>3</v>
      </c>
      <c r="C1271" s="74" t="str">
        <f>'Unit tariffs'!B43</f>
        <v>x 80 A circuit breaker (5kA) - Orange</v>
      </c>
      <c r="D1271" s="74"/>
      <c r="E1271" s="74"/>
      <c r="F1271" s="74"/>
      <c r="G1271" s="74"/>
      <c r="H1271" s="76">
        <f>VLOOKUP($C1271,'Unit tariffs'!$B$21:$F$123,5,FALSE)*$B1271</f>
        <v>0</v>
      </c>
      <c r="I1271" s="76">
        <f>VLOOKUP($C1271,'Unit tariffs'!$B$21:$F$123,5,FALSE)*$B1271</f>
        <v>0</v>
      </c>
    </row>
    <row r="1272" spans="2:9" ht="13" x14ac:dyDescent="0.3">
      <c r="B1272" s="74">
        <v>1</v>
      </c>
      <c r="C1272" s="74" t="str">
        <f>'Unit tariffs'!B72</f>
        <v>Cable clamp (Clampex) - K26</v>
      </c>
      <c r="D1272" s="74"/>
      <c r="E1272" s="74"/>
      <c r="F1272" s="74"/>
      <c r="G1272" s="74"/>
      <c r="H1272" s="76">
        <f>VLOOKUP($C1272,'Unit tariffs'!$B$21:$F$123,5,FALSE)*$B1272</f>
        <v>1423.2410081400001</v>
      </c>
      <c r="I1272" s="76">
        <f>VLOOKUP($C1272,'Unit tariffs'!$B$21:$F$123,5,FALSE)*$B1272</f>
        <v>1423.2410081400001</v>
      </c>
    </row>
    <row r="1273" spans="2:9" ht="13" x14ac:dyDescent="0.3">
      <c r="B1273" s="74">
        <v>1</v>
      </c>
      <c r="C1273" s="74" t="str">
        <f>'Unit tariffs'!B21</f>
        <v>Installation material</v>
      </c>
      <c r="D1273" s="74"/>
      <c r="E1273" s="74"/>
      <c r="F1273" s="74"/>
      <c r="G1273" s="74"/>
      <c r="H1273" s="81">
        <f>VLOOKUP($C1273,'Unit tariffs'!$B$21:$F$123,5,FALSE)*$B1273</f>
        <v>282.48325</v>
      </c>
      <c r="I1273" s="81">
        <f>VLOOKUP($C1273,'Unit tariffs'!$B$21:$F$123,5,FALSE)*$B1273</f>
        <v>282.48325</v>
      </c>
    </row>
    <row r="1274" spans="2:9" ht="13" x14ac:dyDescent="0.3">
      <c r="B1274" s="74"/>
      <c r="C1274" s="74"/>
      <c r="D1274" s="74"/>
      <c r="E1274" s="74"/>
      <c r="F1274" s="74"/>
      <c r="G1274" s="74"/>
      <c r="H1274" s="76">
        <f>SUM(H1270:H1273)</f>
        <v>3848.0772261399998</v>
      </c>
      <c r="I1274" s="76">
        <f>SUM(I1270:I1273)</f>
        <v>3848.0772261399998</v>
      </c>
    </row>
    <row r="1275" spans="2:9" ht="13" x14ac:dyDescent="0.3">
      <c r="B1275" s="104" t="s">
        <v>42</v>
      </c>
      <c r="C1275" s="74"/>
      <c r="D1275" s="74"/>
      <c r="E1275" s="74"/>
      <c r="F1275" s="74"/>
      <c r="G1275" s="74"/>
      <c r="H1275" s="74"/>
      <c r="I1275" s="74"/>
    </row>
    <row r="1276" spans="2:9" ht="13" x14ac:dyDescent="0.3">
      <c r="B1276" s="74"/>
      <c r="C1276" s="74"/>
      <c r="D1276" s="74"/>
      <c r="E1276" s="74"/>
      <c r="F1276" s="74"/>
      <c r="G1276" s="74"/>
      <c r="H1276" s="74"/>
      <c r="I1276" s="74"/>
    </row>
    <row r="1277" spans="2:9" ht="13" x14ac:dyDescent="0.3">
      <c r="B1277" s="74">
        <v>1</v>
      </c>
      <c r="C1277" s="74" t="str">
        <f>'Unit tariffs'!B$87</f>
        <v xml:space="preserve">hour-artisan </v>
      </c>
      <c r="D1277" s="74"/>
      <c r="E1277" s="74"/>
      <c r="F1277" s="74"/>
      <c r="G1277" s="74"/>
      <c r="H1277" s="76">
        <f>VLOOKUP($C1277,'Unit tariffs'!$B$21:$F$123,5,FALSE)*$B1277</f>
        <v>351.19276615384621</v>
      </c>
      <c r="I1277" s="76">
        <f>VLOOKUP($C1277,'Unit tariffs'!$B$21:$F$123,5,FALSE)*$B1277</f>
        <v>351.19276615384621</v>
      </c>
    </row>
    <row r="1278" spans="2:9" ht="13" x14ac:dyDescent="0.3">
      <c r="B1278" s="74">
        <v>1</v>
      </c>
      <c r="C1278" s="74" t="str">
        <f>'Unit tariffs'!B$85</f>
        <v>hour-artisan assistant</v>
      </c>
      <c r="D1278" s="74"/>
      <c r="E1278" s="74"/>
      <c r="F1278" s="74"/>
      <c r="G1278" s="74"/>
      <c r="H1278" s="81">
        <f>VLOOKUP($C1278,'Unit tariffs'!$B$21:$F$123,5,FALSE)*$B1278</f>
        <v>139.82425846153848</v>
      </c>
      <c r="I1278" s="81">
        <f>VLOOKUP($C1278,'Unit tariffs'!$B$21:$F$123,5,FALSE)*$B1278</f>
        <v>139.82425846153848</v>
      </c>
    </row>
    <row r="1279" spans="2:9" ht="13" x14ac:dyDescent="0.3">
      <c r="B1279" s="74"/>
      <c r="C1279" s="74"/>
      <c r="D1279" s="74"/>
      <c r="E1279" s="74"/>
      <c r="F1279" s="74"/>
      <c r="G1279" s="74"/>
      <c r="H1279" s="76">
        <f>SUM(H1277:H1278)</f>
        <v>491.01702461538468</v>
      </c>
      <c r="I1279" s="76">
        <f>SUM(I1277:I1278)</f>
        <v>491.01702461538468</v>
      </c>
    </row>
    <row r="1280" spans="2:9" ht="13" x14ac:dyDescent="0.3">
      <c r="B1280" s="104" t="s">
        <v>43</v>
      </c>
      <c r="C1280" s="74"/>
      <c r="D1280" s="74"/>
      <c r="E1280" s="74"/>
      <c r="F1280" s="74"/>
      <c r="G1280" s="74"/>
      <c r="H1280" s="74"/>
      <c r="I1280" s="74"/>
    </row>
    <row r="1281" spans="2:9" ht="13" x14ac:dyDescent="0.3">
      <c r="B1281" s="74"/>
      <c r="C1281" s="74"/>
      <c r="D1281" s="74"/>
      <c r="E1281" s="74"/>
      <c r="F1281" s="74"/>
      <c r="G1281" s="74"/>
      <c r="H1281" s="74"/>
      <c r="I1281" s="74"/>
    </row>
    <row r="1282" spans="2:9" ht="13" x14ac:dyDescent="0.3">
      <c r="B1282" s="74">
        <v>24</v>
      </c>
      <c r="C1282" s="74" t="str">
        <f>'Unit tariffs'!B$111</f>
        <v>km-truck with platform</v>
      </c>
      <c r="D1282" s="74"/>
      <c r="E1282" s="74"/>
      <c r="F1282" s="74"/>
      <c r="G1282" s="74"/>
      <c r="H1282" s="76">
        <f>VLOOKUP($C1282,'Unit tariffs'!$B$21:$F$123,5,FALSE)*$B1282</f>
        <v>1182.7997218118533</v>
      </c>
      <c r="I1282" s="76">
        <f>VLOOKUP($C1282,'Unit tariffs'!$B$21:$F$123,5,FALSE)*$B1282</f>
        <v>1182.7997218118533</v>
      </c>
    </row>
    <row r="1283" spans="2:9" ht="13" x14ac:dyDescent="0.3">
      <c r="B1283" s="74">
        <v>1</v>
      </c>
      <c r="C1283" s="74" t="str">
        <f>'Unit tariffs'!B$112</f>
        <v>hour-truck with platform</v>
      </c>
      <c r="D1283" s="74"/>
      <c r="E1283" s="74"/>
      <c r="F1283" s="74"/>
      <c r="G1283" s="74"/>
      <c r="H1283" s="76">
        <f>VLOOKUP($C1283,'Unit tariffs'!$B$21:$F$123,5,FALSE)*$B1283</f>
        <v>239.8431204962792</v>
      </c>
      <c r="I1283" s="76">
        <f>VLOOKUP($C1283,'Unit tariffs'!$B$21:$F$123,5,FALSE)*$B1283</f>
        <v>239.8431204962792</v>
      </c>
    </row>
    <row r="1284" spans="2:9" ht="13" x14ac:dyDescent="0.3">
      <c r="B1284" s="74"/>
      <c r="C1284" s="74"/>
      <c r="D1284" s="74"/>
      <c r="E1284" s="74"/>
      <c r="F1284" s="74"/>
      <c r="G1284" s="74"/>
      <c r="H1284" s="137">
        <f>SUM(H1282:H1283)</f>
        <v>1422.6428423081325</v>
      </c>
      <c r="I1284" s="137">
        <f>SUM(I1282:I1283)</f>
        <v>1422.6428423081325</v>
      </c>
    </row>
    <row r="1286" spans="2:9" ht="13" x14ac:dyDescent="0.3">
      <c r="B1286" s="74"/>
      <c r="C1286" s="74"/>
      <c r="D1286" s="74"/>
      <c r="E1286" s="74"/>
      <c r="F1286" s="74"/>
      <c r="G1286" s="74"/>
      <c r="H1286" s="76">
        <f>+H1284+H1279+H1274+H1266</f>
        <v>29684.547779318767</v>
      </c>
      <c r="I1286" s="76">
        <f>+I1284+I1279+I1274+I1266</f>
        <v>29684.547779318767</v>
      </c>
    </row>
    <row r="1287" spans="2:9" ht="13.5" thickBot="1" x14ac:dyDescent="0.35">
      <c r="B1287" s="104" t="str">
        <f>'Unit tariffs'!$B$7</f>
        <v>Administration Levy (Indirect Cost)</v>
      </c>
      <c r="C1287" s="74"/>
      <c r="D1287" s="106">
        <f>'Unit tariffs'!$C$7</f>
        <v>0.1</v>
      </c>
      <c r="E1287" s="74" t="s">
        <v>311</v>
      </c>
      <c r="F1287" s="186">
        <f>+'Unit tariffs'!$F$7</f>
        <v>10000</v>
      </c>
      <c r="G1287" s="74"/>
      <c r="H1287" s="108">
        <f>IF(H1286*$D1287&gt;='Unit tariffs'!$E$7,'Unit tariffs'!$E$7,H1286*$D1287)</f>
        <v>2968.4547779318768</v>
      </c>
      <c r="I1287" s="108">
        <f>IF(I1286*$D1287&gt;='Unit tariffs'!$E$7,'Unit tariffs'!$E$7,I1286*$D1287)</f>
        <v>2968.4547779318768</v>
      </c>
    </row>
    <row r="1288" spans="2:9" ht="13.5" thickTop="1" x14ac:dyDescent="0.3">
      <c r="B1288" s="104" t="s">
        <v>44</v>
      </c>
      <c r="C1288" s="74"/>
      <c r="D1288" s="74"/>
      <c r="E1288" s="74"/>
      <c r="F1288" s="74"/>
      <c r="G1288" s="74"/>
      <c r="H1288" s="109">
        <f>SUM(H1286:H1287)</f>
        <v>32653.002557250646</v>
      </c>
      <c r="I1288" s="109">
        <f>SUM(I1286:I1287)</f>
        <v>32653.002557250646</v>
      </c>
    </row>
    <row r="1289" spans="2:9" ht="13" x14ac:dyDescent="0.3">
      <c r="B1289" s="74"/>
      <c r="C1289" s="74"/>
      <c r="D1289" s="74"/>
      <c r="E1289" s="74"/>
      <c r="F1289" s="74"/>
      <c r="G1289" s="74"/>
      <c r="H1289" s="74"/>
      <c r="I1289" s="74"/>
    </row>
    <row r="1290" spans="2:9" ht="13" x14ac:dyDescent="0.3">
      <c r="B1290" s="104" t="s">
        <v>45</v>
      </c>
      <c r="C1290" s="74"/>
      <c r="D1290" s="74"/>
      <c r="E1290" s="74"/>
      <c r="F1290" s="74"/>
      <c r="G1290" s="74"/>
      <c r="H1290" s="84">
        <f>ROUND(H1288,-1)</f>
        <v>32650</v>
      </c>
      <c r="I1290" s="84">
        <f>ROUND(I1288,-1)</f>
        <v>32650</v>
      </c>
    </row>
    <row r="1291" spans="2:9" ht="13.5" thickBot="1" x14ac:dyDescent="0.35">
      <c r="B1291" s="796"/>
      <c r="C1291" s="123"/>
      <c r="D1291" s="123"/>
      <c r="E1291" s="123"/>
      <c r="F1291" s="123"/>
      <c r="G1291" s="123"/>
      <c r="H1291" s="797"/>
      <c r="I1291" s="797"/>
    </row>
    <row r="1292" spans="2:9" ht="13" thickTop="1" x14ac:dyDescent="0.25"/>
    <row r="1293" spans="2:9" ht="30.75" customHeight="1" x14ac:dyDescent="0.3">
      <c r="B1293" s="931" t="s">
        <v>725</v>
      </c>
      <c r="C1293" s="932"/>
      <c r="D1293" s="932"/>
      <c r="E1293" s="932"/>
      <c r="F1293" s="932"/>
      <c r="G1293" s="933"/>
      <c r="H1293" s="806" t="s">
        <v>667</v>
      </c>
      <c r="I1293" s="806" t="s">
        <v>667</v>
      </c>
    </row>
    <row r="1294" spans="2:9" ht="13" x14ac:dyDescent="0.3">
      <c r="B1294" s="74" t="s">
        <v>1</v>
      </c>
      <c r="C1294" s="74"/>
      <c r="D1294" s="74"/>
      <c r="E1294" s="74"/>
      <c r="F1294" s="74"/>
      <c r="G1294" s="74"/>
      <c r="H1294" s="74"/>
      <c r="I1294" s="74"/>
    </row>
    <row r="1295" spans="2:9" ht="13" x14ac:dyDescent="0.3">
      <c r="B1295" s="74"/>
      <c r="C1295" s="74"/>
      <c r="D1295" s="74"/>
      <c r="E1295" s="74"/>
      <c r="F1295" s="74"/>
      <c r="G1295" s="74"/>
      <c r="H1295" s="103" t="str">
        <f>+'Unit tariffs'!$F$11</f>
        <v>2026/2027</v>
      </c>
      <c r="I1295" s="103" t="str">
        <f>+'Unit tariffs'!$F$11</f>
        <v>2026/2027</v>
      </c>
    </row>
    <row r="1296" spans="2:9" ht="13" x14ac:dyDescent="0.3">
      <c r="B1296" s="74" t="s">
        <v>1</v>
      </c>
      <c r="C1296" s="74"/>
      <c r="D1296" s="74"/>
      <c r="E1296" s="74"/>
      <c r="F1296" s="74"/>
      <c r="G1296" s="74"/>
      <c r="H1296" s="74"/>
      <c r="I1296" s="74"/>
    </row>
    <row r="1297" spans="2:9" ht="13" x14ac:dyDescent="0.3">
      <c r="B1297" s="74"/>
      <c r="C1297" s="74"/>
      <c r="D1297" s="74"/>
      <c r="E1297" s="74"/>
      <c r="F1297" s="74"/>
      <c r="G1297" s="74"/>
      <c r="H1297" s="103"/>
      <c r="I1297" s="103"/>
    </row>
    <row r="1298" spans="2:9" ht="13" x14ac:dyDescent="0.3">
      <c r="B1298" s="104" t="s">
        <v>117</v>
      </c>
      <c r="C1298" s="74"/>
      <c r="D1298" s="74"/>
      <c r="E1298" s="74"/>
      <c r="F1298" s="74"/>
      <c r="G1298" s="74"/>
      <c r="H1298" s="74"/>
      <c r="I1298" s="74"/>
    </row>
    <row r="1299" spans="2:9" ht="13" x14ac:dyDescent="0.3">
      <c r="B1299" s="74" t="s">
        <v>118</v>
      </c>
      <c r="C1299" s="74"/>
      <c r="D1299" s="74"/>
      <c r="E1299" s="74"/>
      <c r="F1299" s="74"/>
      <c r="G1299" s="74"/>
      <c r="H1299" s="74"/>
      <c r="I1299" s="74"/>
    </row>
    <row r="1300" spans="2:9" ht="13" x14ac:dyDescent="0.3">
      <c r="B1300" s="74">
        <v>2.5</v>
      </c>
      <c r="C1300" s="74" t="str">
        <f>'Unit tariffs'!B$137</f>
        <v>Primary Backbone - Peri Urban</v>
      </c>
      <c r="D1300" s="74"/>
      <c r="E1300" s="74"/>
      <c r="F1300" s="74" t="str">
        <f>'Unit tariffs'!C$131</f>
        <v>per kVA</v>
      </c>
      <c r="G1300" s="74"/>
      <c r="H1300" s="76">
        <f>VLOOKUP($C1300,'Unit tariffs'!$B$21:$F$155,5,FALSE)*$B1300</f>
        <v>3588.7446084105004</v>
      </c>
      <c r="I1300" s="76">
        <f>VLOOKUP($C1300,'Unit tariffs'!$B$21:$F$155,5,FALSE)*$B1300</f>
        <v>3588.7446084105004</v>
      </c>
    </row>
    <row r="1301" spans="2:9" ht="13" x14ac:dyDescent="0.3">
      <c r="B1301" s="74">
        <v>2.5</v>
      </c>
      <c r="C1301" s="74" t="str">
        <f>'Unit tariffs'!B$138</f>
        <v>Secondary Backbone - MV Peri Urban</v>
      </c>
      <c r="D1301" s="74"/>
      <c r="E1301" s="74"/>
      <c r="F1301" s="74" t="str">
        <f>'Unit tariffs'!C$132</f>
        <v>per kVA</v>
      </c>
      <c r="G1301" s="74"/>
      <c r="H1301" s="76">
        <f>VLOOKUP($C1301,'Unit tariffs'!$B$21:$F$155,5,FALSE)*$B1301</f>
        <v>3020.01571400375</v>
      </c>
      <c r="I1301" s="76">
        <f>VLOOKUP($C1301,'Unit tariffs'!$B$21:$F$155,5,FALSE)*$B1301</f>
        <v>3020.01571400375</v>
      </c>
    </row>
    <row r="1302" spans="2:9" ht="13" x14ac:dyDescent="0.3">
      <c r="B1302" s="74">
        <v>2.5</v>
      </c>
      <c r="C1302" s="74" t="str">
        <f>'Unit tariffs'!B$139</f>
        <v>Secondary Backbone - LV Peri Urban</v>
      </c>
      <c r="D1302" s="74"/>
      <c r="E1302" s="74"/>
      <c r="F1302" s="74" t="str">
        <f>'Unit tariffs'!C$133</f>
        <v>per kVA</v>
      </c>
      <c r="G1302" s="74"/>
      <c r="H1302" s="81">
        <f>VLOOKUP($C1302,'Unit tariffs'!$B$21:$F$155,5,FALSE)*$B1302</f>
        <v>4954.2545147480005</v>
      </c>
      <c r="I1302" s="81">
        <f>VLOOKUP($C1302,'Unit tariffs'!$B$21:$F$155,5,FALSE)*$B1302</f>
        <v>4954.2545147480005</v>
      </c>
    </row>
    <row r="1303" spans="2:9" ht="13" x14ac:dyDescent="0.3">
      <c r="B1303" s="74"/>
      <c r="C1303" s="74"/>
      <c r="D1303" s="74"/>
      <c r="E1303" s="74"/>
      <c r="F1303" s="74"/>
      <c r="G1303" s="74"/>
      <c r="H1303" s="76">
        <f>SUM(H1300:H1302)</f>
        <v>11563.014837162251</v>
      </c>
      <c r="I1303" s="76">
        <f>SUM(I1300:I1302)</f>
        <v>11563.014837162251</v>
      </c>
    </row>
    <row r="1304" spans="2:9" ht="13" x14ac:dyDescent="0.3">
      <c r="B1304" s="74"/>
      <c r="C1304" s="74"/>
      <c r="D1304" s="74"/>
      <c r="E1304" s="74"/>
      <c r="F1304" s="74"/>
      <c r="G1304" s="74"/>
      <c r="H1304" s="76"/>
      <c r="I1304" s="76"/>
    </row>
    <row r="1305" spans="2:9" ht="13" x14ac:dyDescent="0.3">
      <c r="B1305" s="104" t="s">
        <v>41</v>
      </c>
      <c r="C1305" s="74"/>
      <c r="D1305" s="74"/>
      <c r="E1305" s="74"/>
      <c r="F1305" s="74"/>
      <c r="G1305" s="74"/>
      <c r="H1305" s="76"/>
      <c r="I1305" s="76"/>
    </row>
    <row r="1306" spans="2:9" ht="14.5" x14ac:dyDescent="0.35">
      <c r="B1306" s="74">
        <v>1</v>
      </c>
      <c r="C1306" s="705" t="str">
        <f>'Unit tariffs'!B46</f>
        <v>METER: TIME OF USE 100 AMP</v>
      </c>
      <c r="D1306" s="74"/>
      <c r="E1306" s="74"/>
      <c r="F1306" s="74"/>
      <c r="G1306" s="74"/>
      <c r="H1306" s="76">
        <f>VLOOKUP($C1306,'Unit tariffs'!$B$21:$F$123,5,FALSE)*$B1306</f>
        <v>0</v>
      </c>
      <c r="I1306" s="76">
        <f>VLOOKUP($C1306,'Unit tariffs'!$B$21:$F$123,5,FALSE)*$B1306</f>
        <v>0</v>
      </c>
    </row>
    <row r="1307" spans="2:9" ht="13" x14ac:dyDescent="0.3">
      <c r="B1307" s="74">
        <v>3</v>
      </c>
      <c r="C1307" s="74" t="str">
        <f>'Unit tariffs'!B43</f>
        <v>x 80 A circuit breaker (5kA) - Orange</v>
      </c>
      <c r="D1307" s="74"/>
      <c r="E1307" s="74"/>
      <c r="F1307" s="74"/>
      <c r="G1307" s="74"/>
      <c r="H1307" s="76">
        <f>VLOOKUP($C1307,'Unit tariffs'!$B$21:$F$123,5,FALSE)*$B1307</f>
        <v>0</v>
      </c>
      <c r="I1307" s="76">
        <f>VLOOKUP($C1307,'Unit tariffs'!$B$21:$F$123,5,FALSE)*$B1307</f>
        <v>0</v>
      </c>
    </row>
    <row r="1308" spans="2:9" ht="13" x14ac:dyDescent="0.3">
      <c r="B1308" s="74">
        <v>1</v>
      </c>
      <c r="C1308" s="74" t="str">
        <f>'Unit tariffs'!B21</f>
        <v>Installation material</v>
      </c>
      <c r="D1308" s="74"/>
      <c r="E1308" s="74"/>
      <c r="F1308" s="74"/>
      <c r="G1308" s="74"/>
      <c r="H1308" s="81">
        <f>VLOOKUP($C1308,'Unit tariffs'!$B$21:$F$123,5,FALSE)*$B1308</f>
        <v>282.48325</v>
      </c>
      <c r="I1308" s="81">
        <f>VLOOKUP($C1308,'Unit tariffs'!$B$21:$F$123,5,FALSE)*$B1308</f>
        <v>282.48325</v>
      </c>
    </row>
    <row r="1309" spans="2:9" ht="13" x14ac:dyDescent="0.3">
      <c r="B1309" s="74"/>
      <c r="C1309" s="74"/>
      <c r="D1309" s="74"/>
      <c r="E1309" s="74"/>
      <c r="F1309" s="74"/>
      <c r="G1309" s="76"/>
      <c r="H1309" s="76">
        <f>SUM(H1306:H1308)</f>
        <v>282.48325</v>
      </c>
      <c r="I1309" s="76">
        <f>SUM(I1306:I1308)</f>
        <v>282.48325</v>
      </c>
    </row>
    <row r="1310" spans="2:9" ht="13" x14ac:dyDescent="0.3">
      <c r="B1310" s="74"/>
      <c r="C1310" s="74"/>
      <c r="D1310" s="74"/>
      <c r="E1310" s="74"/>
      <c r="F1310" s="74"/>
      <c r="G1310" s="76"/>
      <c r="H1310" s="76"/>
      <c r="I1310" s="76"/>
    </row>
    <row r="1311" spans="2:9" ht="13" x14ac:dyDescent="0.3">
      <c r="B1311" s="104" t="s">
        <v>42</v>
      </c>
      <c r="C1311" s="74"/>
      <c r="D1311" s="74"/>
      <c r="E1311" s="74"/>
      <c r="F1311" s="74"/>
      <c r="G1311" s="74"/>
    </row>
    <row r="1312" spans="2:9" ht="13" x14ac:dyDescent="0.3">
      <c r="B1312" s="74"/>
      <c r="C1312" s="74"/>
      <c r="D1312" s="74"/>
      <c r="E1312" s="74"/>
      <c r="F1312" s="74"/>
      <c r="G1312" s="74"/>
    </row>
    <row r="1313" spans="2:9" ht="13" x14ac:dyDescent="0.3">
      <c r="B1313" s="74">
        <v>2</v>
      </c>
      <c r="C1313" s="74" t="str">
        <f>'Unit tariffs'!B$87</f>
        <v xml:space="preserve">hour-artisan </v>
      </c>
      <c r="D1313" s="74"/>
      <c r="E1313" s="74"/>
      <c r="F1313" s="74"/>
      <c r="G1313" s="74"/>
      <c r="H1313" s="76">
        <f>VLOOKUP($C1313,'Unit tariffs'!$B$21:$F$123,5,FALSE)*$B1313</f>
        <v>702.38553230769242</v>
      </c>
      <c r="I1313" s="76">
        <f>VLOOKUP($C1313,'Unit tariffs'!$B$21:$F$123,5,FALSE)*$B1313</f>
        <v>702.38553230769242</v>
      </c>
    </row>
    <row r="1314" spans="2:9" ht="13" x14ac:dyDescent="0.3">
      <c r="B1314" s="74">
        <f>+B1313*2</f>
        <v>4</v>
      </c>
      <c r="C1314" s="74" t="str">
        <f>'Unit tariffs'!B$85</f>
        <v>hour-artisan assistant</v>
      </c>
      <c r="D1314" s="74"/>
      <c r="E1314" s="74"/>
      <c r="F1314" s="74"/>
      <c r="G1314" s="74"/>
      <c r="H1314" s="81">
        <f>VLOOKUP($C1314,'Unit tariffs'!$B$21:$F$123,5,FALSE)*$B1314</f>
        <v>559.29703384615391</v>
      </c>
      <c r="I1314" s="81">
        <f>VLOOKUP($C1314,'Unit tariffs'!$B$21:$F$123,5,FALSE)*$B1314</f>
        <v>559.29703384615391</v>
      </c>
    </row>
    <row r="1315" spans="2:9" ht="13" x14ac:dyDescent="0.3">
      <c r="B1315" s="74"/>
      <c r="C1315" s="74"/>
      <c r="D1315" s="74"/>
      <c r="E1315" s="74"/>
      <c r="F1315" s="74"/>
      <c r="G1315" s="74"/>
      <c r="H1315" s="76">
        <f>SUM(H1313:H1314)</f>
        <v>1261.6825661538464</v>
      </c>
      <c r="I1315" s="76">
        <f>SUM(I1313:I1314)</f>
        <v>1261.6825661538464</v>
      </c>
    </row>
    <row r="1316" spans="2:9" ht="13" x14ac:dyDescent="0.3">
      <c r="B1316" s="104" t="s">
        <v>43</v>
      </c>
      <c r="C1316" s="74"/>
      <c r="D1316" s="74"/>
      <c r="E1316" s="74"/>
      <c r="F1316" s="74"/>
      <c r="G1316" s="74"/>
    </row>
    <row r="1317" spans="2:9" ht="13" x14ac:dyDescent="0.3">
      <c r="B1317" s="74"/>
      <c r="C1317" s="74"/>
      <c r="D1317" s="74"/>
      <c r="E1317" s="74"/>
      <c r="F1317" s="74"/>
      <c r="G1317" s="74"/>
    </row>
    <row r="1318" spans="2:9" ht="13" x14ac:dyDescent="0.3">
      <c r="B1318" s="74">
        <v>24</v>
      </c>
      <c r="C1318" s="74" t="str">
        <f>'Unit tariffs'!B$111</f>
        <v>km-truck with platform</v>
      </c>
      <c r="D1318" s="74"/>
      <c r="E1318" s="74"/>
      <c r="F1318" s="74"/>
      <c r="G1318" s="74"/>
      <c r="H1318" s="76">
        <f>VLOOKUP($C1318,'Unit tariffs'!$B$21:$F$123,5,FALSE)*$B1318</f>
        <v>1182.7997218118533</v>
      </c>
      <c r="I1318" s="76">
        <f>VLOOKUP($C1318,'Unit tariffs'!$B$21:$F$123,5,FALSE)*$B1318</f>
        <v>1182.7997218118533</v>
      </c>
    </row>
    <row r="1319" spans="2:9" ht="13" x14ac:dyDescent="0.3">
      <c r="B1319" s="74">
        <v>0.5</v>
      </c>
      <c r="C1319" s="74" t="str">
        <f>'Unit tariffs'!B$112</f>
        <v>hour-truck with platform</v>
      </c>
      <c r="D1319" s="74"/>
      <c r="E1319" s="74"/>
      <c r="F1319" s="74"/>
      <c r="G1319" s="74"/>
      <c r="H1319" s="76">
        <f>VLOOKUP($C1319,'Unit tariffs'!$B$21:$F$123,5,FALSE)*$B1319</f>
        <v>119.9215602481396</v>
      </c>
      <c r="I1319" s="76">
        <f>VLOOKUP($C1319,'Unit tariffs'!$B$21:$F$123,5,FALSE)*$B1319</f>
        <v>119.9215602481396</v>
      </c>
    </row>
    <row r="1320" spans="2:9" ht="13" x14ac:dyDescent="0.3">
      <c r="B1320" s="74"/>
      <c r="C1320" s="74"/>
      <c r="D1320" s="74"/>
      <c r="E1320" s="74"/>
      <c r="F1320" s="74"/>
      <c r="G1320" s="74"/>
      <c r="H1320" s="137">
        <f>SUM(H1318:H1319)</f>
        <v>1302.721282059993</v>
      </c>
      <c r="I1320" s="137">
        <f>SUM(I1318:I1319)</f>
        <v>1302.721282059993</v>
      </c>
    </row>
    <row r="1321" spans="2:9" ht="13" x14ac:dyDescent="0.3">
      <c r="B1321" s="74"/>
      <c r="C1321" s="74"/>
      <c r="D1321" s="74"/>
      <c r="E1321" s="74"/>
      <c r="F1321" s="74"/>
      <c r="G1321" s="76"/>
    </row>
    <row r="1322" spans="2:9" ht="13" x14ac:dyDescent="0.3">
      <c r="G1322" s="76"/>
    </row>
    <row r="1323" spans="2:9" ht="13" x14ac:dyDescent="0.3">
      <c r="B1323" s="104" t="str">
        <f>'Unit tariffs'!$B$7</f>
        <v>Administration Levy (Indirect Cost)</v>
      </c>
      <c r="C1323" s="74"/>
      <c r="D1323" s="106">
        <f>'Unit tariffs'!$C$7</f>
        <v>0.1</v>
      </c>
      <c r="E1323" s="74" t="s">
        <v>311</v>
      </c>
      <c r="F1323" s="186">
        <f>+'Unit tariffs'!$F$7</f>
        <v>10000</v>
      </c>
      <c r="G1323" s="76"/>
      <c r="H1323" s="76">
        <f>+H1320+H1315+H1309+H1303</f>
        <v>14409.90193537609</v>
      </c>
      <c r="I1323" s="76">
        <f>+I1320+I1315+I1309+I1303</f>
        <v>14409.90193537609</v>
      </c>
    </row>
    <row r="1324" spans="2:9" ht="13.5" thickBot="1" x14ac:dyDescent="0.35">
      <c r="B1324" s="104" t="s">
        <v>44</v>
      </c>
      <c r="C1324" s="74"/>
      <c r="D1324" s="74"/>
      <c r="E1324" s="74"/>
      <c r="F1324" s="74"/>
      <c r="G1324" s="76"/>
      <c r="H1324" s="108">
        <f>IF(H1323*$D1323&gt;='Unit tariffs'!$E$7,'Unit tariffs'!$E$7,H1323*$D1323)</f>
        <v>1440.9901935376092</v>
      </c>
      <c r="I1324" s="108">
        <f>IF(I1323*$D1323&gt;='Unit tariffs'!$E$7,'Unit tariffs'!$E$7,I1323*$D1323)</f>
        <v>1440.9901935376092</v>
      </c>
    </row>
    <row r="1325" spans="2:9" ht="13.5" thickTop="1" x14ac:dyDescent="0.3">
      <c r="B1325" s="104"/>
      <c r="C1325" s="74"/>
      <c r="D1325" s="74"/>
      <c r="E1325" s="74"/>
      <c r="F1325" s="74"/>
      <c r="G1325" s="74"/>
      <c r="H1325" s="109">
        <f>SUM(H1323:H1324)</f>
        <v>15850.8921289137</v>
      </c>
      <c r="I1325" s="109">
        <f>SUM(I1323:I1324)</f>
        <v>15850.8921289137</v>
      </c>
    </row>
    <row r="1326" spans="2:9" ht="13" x14ac:dyDescent="0.3">
      <c r="B1326" s="104" t="s">
        <v>45</v>
      </c>
      <c r="C1326" s="74"/>
      <c r="D1326" s="74"/>
      <c r="E1326" s="74"/>
      <c r="F1326" s="74"/>
      <c r="G1326" s="74"/>
      <c r="H1326" s="74"/>
      <c r="I1326" s="74"/>
    </row>
    <row r="1327" spans="2:9" ht="13" x14ac:dyDescent="0.3">
      <c r="B1327" s="74"/>
      <c r="C1327" s="74"/>
      <c r="D1327" s="74"/>
      <c r="E1327" s="74"/>
      <c r="F1327" s="74"/>
      <c r="G1327" s="74"/>
      <c r="H1327" s="84">
        <f>ROUND(H1325,-1)</f>
        <v>15850</v>
      </c>
      <c r="I1327" s="84">
        <f>ROUND(I1325,-1)</f>
        <v>15850</v>
      </c>
    </row>
    <row r="1328" spans="2:9" ht="13" x14ac:dyDescent="0.3">
      <c r="B1328" s="74"/>
      <c r="C1328" s="74"/>
      <c r="D1328" s="74"/>
      <c r="E1328" s="74"/>
      <c r="F1328" s="74"/>
      <c r="G1328" s="74"/>
      <c r="H1328" s="76"/>
      <c r="I1328" s="76"/>
    </row>
    <row r="1329" spans="2:9" ht="13" x14ac:dyDescent="0.3">
      <c r="B1329" s="74"/>
      <c r="C1329" s="74"/>
      <c r="D1329" s="74"/>
      <c r="E1329" s="74"/>
      <c r="F1329" s="74"/>
      <c r="G1329" s="74"/>
      <c r="H1329" s="112" t="e">
        <f>(+H1327-G1327)/G1327</f>
        <v>#DIV/0!</v>
      </c>
      <c r="I1329" s="112">
        <f>(+I1327-H1327)/H1327</f>
        <v>0</v>
      </c>
    </row>
    <row r="1330" spans="2:9" ht="13" x14ac:dyDescent="0.3">
      <c r="B1330" s="74"/>
      <c r="C1330" s="74"/>
      <c r="D1330" s="74"/>
      <c r="E1330" s="74"/>
      <c r="F1330" s="74"/>
      <c r="G1330" s="74"/>
      <c r="H1330" s="112"/>
      <c r="I1330" s="112"/>
    </row>
    <row r="1331" spans="2:9" ht="13.5" thickBot="1" x14ac:dyDescent="0.35">
      <c r="B1331" s="123"/>
      <c r="C1331" s="123"/>
      <c r="D1331" s="123"/>
      <c r="E1331" s="123"/>
      <c r="F1331" s="123"/>
      <c r="G1331" s="123"/>
      <c r="H1331" s="123"/>
      <c r="I1331" s="123"/>
    </row>
    <row r="1332" spans="2:9" ht="13.5" thickTop="1" x14ac:dyDescent="0.3">
      <c r="B1332" s="134"/>
      <c r="C1332" s="120"/>
      <c r="D1332" s="120"/>
      <c r="E1332" s="120" t="s">
        <v>1</v>
      </c>
      <c r="F1332" s="120"/>
      <c r="G1332" s="120"/>
      <c r="H1332" s="120"/>
      <c r="I1332" s="120"/>
    </row>
    <row r="1333" spans="2:9" ht="28" customHeight="1" x14ac:dyDescent="0.3">
      <c r="B1333" s="931" t="s">
        <v>726</v>
      </c>
      <c r="C1333" s="932"/>
      <c r="D1333" s="932"/>
      <c r="E1333" s="932"/>
      <c r="F1333" s="932"/>
      <c r="G1333" s="933"/>
      <c r="H1333" s="807" t="s">
        <v>668</v>
      </c>
      <c r="I1333" s="807" t="s">
        <v>668</v>
      </c>
    </row>
    <row r="1334" spans="2:9" ht="13" x14ac:dyDescent="0.3">
      <c r="B1334" s="74" t="s">
        <v>1</v>
      </c>
      <c r="C1334" s="74"/>
      <c r="D1334" s="74"/>
      <c r="E1334" s="74"/>
      <c r="F1334" s="74"/>
      <c r="G1334" s="74"/>
      <c r="H1334" s="74"/>
      <c r="I1334" s="74"/>
    </row>
    <row r="1335" spans="2:9" ht="13" x14ac:dyDescent="0.3">
      <c r="B1335" s="74"/>
      <c r="C1335" s="74"/>
      <c r="D1335" s="74"/>
      <c r="E1335" s="74"/>
      <c r="F1335" s="74"/>
      <c r="G1335" s="74"/>
      <c r="H1335" s="103" t="str">
        <f>+'Unit tariffs'!$F$11</f>
        <v>2026/2027</v>
      </c>
      <c r="I1335" s="103" t="str">
        <f>+'Unit tariffs'!$F$11</f>
        <v>2026/2027</v>
      </c>
    </row>
    <row r="1336" spans="2:9" ht="13" x14ac:dyDescent="0.3">
      <c r="B1336" s="104" t="s">
        <v>117</v>
      </c>
      <c r="C1336" s="74"/>
      <c r="D1336" s="74"/>
      <c r="E1336" s="74"/>
      <c r="F1336" s="74"/>
      <c r="G1336" s="74"/>
      <c r="H1336" s="76"/>
      <c r="I1336" s="76"/>
    </row>
    <row r="1337" spans="2:9" ht="13" x14ac:dyDescent="0.3">
      <c r="B1337" s="74" t="s">
        <v>118</v>
      </c>
      <c r="C1337" s="74"/>
      <c r="D1337" s="74"/>
      <c r="E1337" s="74"/>
      <c r="F1337" s="74"/>
      <c r="G1337" s="74"/>
    </row>
    <row r="1338" spans="2:9" ht="13" x14ac:dyDescent="0.3">
      <c r="B1338" s="74">
        <v>2.5</v>
      </c>
      <c r="C1338" s="74" t="str">
        <f>'Unit tariffs'!B$138</f>
        <v>Secondary Backbone - MV Peri Urban</v>
      </c>
      <c r="D1338" s="74"/>
      <c r="E1338" s="74"/>
      <c r="F1338" s="74" t="str">
        <f>'Unit tariffs'!C$132</f>
        <v>per kVA</v>
      </c>
      <c r="G1338" s="74"/>
      <c r="H1338" s="76">
        <f>VLOOKUP($C1338,'Unit tariffs'!$B$21:$F$158,5,FALSE)*$B1338</f>
        <v>3020.01571400375</v>
      </c>
      <c r="I1338" s="76">
        <f>VLOOKUP($C1338,'Unit tariffs'!$B$21:$F$158,5,FALSE)*$B1338</f>
        <v>3020.01571400375</v>
      </c>
    </row>
    <row r="1339" spans="2:9" ht="13" x14ac:dyDescent="0.3">
      <c r="B1339" s="74">
        <v>2.5</v>
      </c>
      <c r="C1339" s="74" t="str">
        <f>'Unit tariffs'!B$139</f>
        <v>Secondary Backbone - LV Peri Urban</v>
      </c>
      <c r="D1339" s="74"/>
      <c r="E1339" s="74"/>
      <c r="F1339" s="74" t="str">
        <f>'Unit tariffs'!C$133</f>
        <v>per kVA</v>
      </c>
      <c r="G1339" s="74"/>
      <c r="H1339" s="81">
        <f>VLOOKUP($C1339,'Unit tariffs'!$B$21:$F$158,5,FALSE)*$B1339</f>
        <v>4954.2545147480005</v>
      </c>
      <c r="I1339" s="81">
        <f>VLOOKUP($C1339,'Unit tariffs'!$B$21:$F$158,5,FALSE)*$B1339</f>
        <v>4954.2545147480005</v>
      </c>
    </row>
    <row r="1340" spans="2:9" ht="13" x14ac:dyDescent="0.3">
      <c r="B1340" s="74"/>
      <c r="C1340" s="74"/>
      <c r="D1340" s="74"/>
      <c r="E1340" s="74"/>
      <c r="F1340" s="74"/>
      <c r="G1340" s="74"/>
      <c r="H1340" s="76">
        <f>SUM(H1338:H1339)</f>
        <v>7974.2702287517504</v>
      </c>
      <c r="I1340" s="76">
        <f>SUM(I1338:I1339)</f>
        <v>7974.2702287517504</v>
      </c>
    </row>
    <row r="1341" spans="2:9" ht="13" x14ac:dyDescent="0.3">
      <c r="B1341" s="104" t="s">
        <v>41</v>
      </c>
      <c r="C1341" s="74"/>
      <c r="D1341" s="74"/>
      <c r="E1341" s="74"/>
      <c r="F1341" s="74"/>
      <c r="G1341" s="74"/>
      <c r="H1341" s="76"/>
      <c r="I1341" s="76"/>
    </row>
    <row r="1342" spans="2:9" ht="14.5" x14ac:dyDescent="0.35">
      <c r="B1342" s="74">
        <v>1</v>
      </c>
      <c r="C1342" s="705" t="str">
        <f>'Unit tariffs'!B46</f>
        <v>METER: TIME OF USE 100 AMP</v>
      </c>
      <c r="D1342" s="74"/>
      <c r="E1342" s="74"/>
      <c r="F1342" s="74"/>
      <c r="G1342" s="74"/>
      <c r="H1342" s="76">
        <f>VLOOKUP($C1342,'Unit tariffs'!$B$21:$F$123,5,FALSE)*$B1342</f>
        <v>0</v>
      </c>
      <c r="I1342" s="76">
        <f>VLOOKUP($C1342,'Unit tariffs'!$B$21:$F$123,5,FALSE)*$B1342</f>
        <v>0</v>
      </c>
    </row>
    <row r="1343" spans="2:9" ht="13" x14ac:dyDescent="0.3">
      <c r="B1343" s="74">
        <v>3</v>
      </c>
      <c r="C1343" s="74" t="str">
        <f>'Unit tariffs'!B43</f>
        <v>x 80 A circuit breaker (5kA) - Orange</v>
      </c>
      <c r="D1343" s="74"/>
      <c r="E1343" s="74"/>
      <c r="F1343" s="74"/>
      <c r="G1343" s="74"/>
      <c r="H1343" s="76">
        <f>VLOOKUP($C1343,'Unit tariffs'!$B$21:$F$123,5,FALSE)*$B1343</f>
        <v>0</v>
      </c>
      <c r="I1343" s="76">
        <f>VLOOKUP($C1343,'Unit tariffs'!$B$21:$F$123,5,FALSE)*$B1343</f>
        <v>0</v>
      </c>
    </row>
    <row r="1344" spans="2:9" ht="13" x14ac:dyDescent="0.3">
      <c r="B1344" s="74">
        <v>1</v>
      </c>
      <c r="C1344" s="74" t="str">
        <f>'Unit tariffs'!B21</f>
        <v>Installation material</v>
      </c>
      <c r="D1344" s="74"/>
      <c r="E1344" s="74"/>
      <c r="F1344" s="74"/>
      <c r="G1344" s="74"/>
      <c r="H1344" s="81">
        <f>VLOOKUP($C1344,'Unit tariffs'!$B$21:$F$123,5,FALSE)*$B1344</f>
        <v>282.48325</v>
      </c>
      <c r="I1344" s="81">
        <f>VLOOKUP($C1344,'Unit tariffs'!$B$21:$F$123,5,FALSE)*$B1344</f>
        <v>282.48325</v>
      </c>
    </row>
    <row r="1345" spans="2:9" ht="13" x14ac:dyDescent="0.3">
      <c r="B1345" s="74"/>
      <c r="C1345" s="74"/>
      <c r="D1345" s="74"/>
      <c r="E1345" s="74"/>
      <c r="F1345" s="74"/>
      <c r="G1345" s="76"/>
      <c r="H1345" s="76">
        <f>SUM(H1342:H1344)</f>
        <v>282.48325</v>
      </c>
      <c r="I1345" s="76">
        <f>SUM(I1342:I1344)</f>
        <v>282.48325</v>
      </c>
    </row>
    <row r="1346" spans="2:9" ht="13" x14ac:dyDescent="0.3">
      <c r="B1346" s="104" t="s">
        <v>42</v>
      </c>
      <c r="C1346" s="74"/>
      <c r="D1346" s="74"/>
      <c r="E1346" s="74"/>
      <c r="F1346" s="74"/>
      <c r="G1346" s="74"/>
      <c r="H1346" s="74"/>
      <c r="I1346" s="74"/>
    </row>
    <row r="1347" spans="2:9" ht="13" x14ac:dyDescent="0.3">
      <c r="B1347" s="74">
        <v>2</v>
      </c>
      <c r="C1347" s="74" t="str">
        <f>'Unit tariffs'!B$87</f>
        <v xml:space="preserve">hour-artisan </v>
      </c>
      <c r="D1347" s="74"/>
      <c r="E1347" s="74"/>
      <c r="F1347" s="74"/>
      <c r="G1347" s="74"/>
      <c r="H1347" s="76">
        <f>VLOOKUP($C1347,'Unit tariffs'!$B$21:$F$123,5,FALSE)*$B1347</f>
        <v>702.38553230769242</v>
      </c>
      <c r="I1347" s="76">
        <f>VLOOKUP($C1347,'Unit tariffs'!$B$21:$F$123,5,FALSE)*$B1347</f>
        <v>702.38553230769242</v>
      </c>
    </row>
    <row r="1348" spans="2:9" ht="13" x14ac:dyDescent="0.3">
      <c r="B1348" s="74">
        <f>+B1347*1</f>
        <v>2</v>
      </c>
      <c r="C1348" s="74" t="str">
        <f>'Unit tariffs'!B$85</f>
        <v>hour-artisan assistant</v>
      </c>
      <c r="D1348" s="74"/>
      <c r="E1348" s="74"/>
      <c r="F1348" s="74"/>
      <c r="G1348" s="74"/>
      <c r="H1348" s="81">
        <f>VLOOKUP($C1348,'Unit tariffs'!$B$21:$F$123,5,FALSE)*$B1348</f>
        <v>279.64851692307695</v>
      </c>
      <c r="I1348" s="81">
        <f>VLOOKUP($C1348,'Unit tariffs'!$B$21:$F$123,5,FALSE)*$B1348</f>
        <v>279.64851692307695</v>
      </c>
    </row>
    <row r="1349" spans="2:9" ht="13" x14ac:dyDescent="0.3">
      <c r="B1349" s="74"/>
      <c r="C1349" s="74"/>
      <c r="D1349" s="74"/>
      <c r="E1349" s="74"/>
      <c r="F1349" s="74"/>
      <c r="G1349" s="74"/>
      <c r="H1349" s="76">
        <f>SUM(H1347:I1348)</f>
        <v>1964.0680984615387</v>
      </c>
      <c r="I1349" s="76">
        <f>SUM(I1347:J1348)</f>
        <v>982.03404923076937</v>
      </c>
    </row>
    <row r="1350" spans="2:9" ht="13" x14ac:dyDescent="0.3">
      <c r="B1350" s="104" t="s">
        <v>43</v>
      </c>
      <c r="C1350" s="74"/>
      <c r="D1350" s="74"/>
      <c r="E1350" s="74"/>
      <c r="F1350" s="74"/>
      <c r="G1350" s="74"/>
      <c r="H1350" s="74"/>
      <c r="I1350" s="74"/>
    </row>
    <row r="1351" spans="2:9" ht="13" x14ac:dyDescent="0.3">
      <c r="B1351" s="74">
        <v>24</v>
      </c>
      <c r="C1351" s="74" t="str">
        <f>'Unit tariffs'!B$111</f>
        <v>km-truck with platform</v>
      </c>
      <c r="D1351" s="74"/>
      <c r="E1351" s="74"/>
      <c r="F1351" s="74"/>
      <c r="G1351" s="74"/>
      <c r="H1351" s="76">
        <f>VLOOKUP($C1351,'Unit tariffs'!$B$21:$F$123,5,FALSE)*$B1351</f>
        <v>1182.7997218118533</v>
      </c>
      <c r="I1351" s="76">
        <f>VLOOKUP($C1351,'Unit tariffs'!$B$21:$F$123,5,FALSE)*$B1351</f>
        <v>1182.7997218118533</v>
      </c>
    </row>
    <row r="1352" spans="2:9" ht="13" x14ac:dyDescent="0.3">
      <c r="B1352" s="74">
        <f>+B1347</f>
        <v>2</v>
      </c>
      <c r="C1352" s="74" t="str">
        <f>'Unit tariffs'!B$112</f>
        <v>hour-truck with platform</v>
      </c>
      <c r="D1352" s="74"/>
      <c r="E1352" s="74"/>
      <c r="F1352" s="74"/>
      <c r="G1352" s="74"/>
      <c r="H1352" s="76">
        <f>VLOOKUP($C1352,'Unit tariffs'!$B$21:$F$123,5,FALSE)*$B1352</f>
        <v>479.6862409925584</v>
      </c>
      <c r="I1352" s="76">
        <f>VLOOKUP($C1352,'Unit tariffs'!$B$21:$F$123,5,FALSE)*$B1352</f>
        <v>479.6862409925584</v>
      </c>
    </row>
    <row r="1353" spans="2:9" ht="13" x14ac:dyDescent="0.3">
      <c r="B1353" s="74"/>
      <c r="C1353" s="74"/>
      <c r="D1353" s="74"/>
      <c r="E1353" s="74"/>
      <c r="F1353" s="74"/>
      <c r="G1353" s="74"/>
      <c r="H1353" s="137">
        <f>SUM(H1351:H1352)</f>
        <v>1662.4859628044117</v>
      </c>
      <c r="I1353" s="137">
        <f>SUM(I1351:I1352)</f>
        <v>1662.4859628044117</v>
      </c>
    </row>
    <row r="1356" spans="2:9" ht="13" x14ac:dyDescent="0.3">
      <c r="B1356" s="74"/>
      <c r="C1356" s="74"/>
      <c r="D1356" s="74"/>
      <c r="E1356" s="74"/>
      <c r="F1356" s="74"/>
      <c r="G1356" s="76"/>
      <c r="H1356" s="76">
        <f>+H1353+H1349+H1345+H1340</f>
        <v>11883.3075400177</v>
      </c>
      <c r="I1356" s="76">
        <f>+I1353+I1349+I1345+I1340</f>
        <v>10901.273490786931</v>
      </c>
    </row>
    <row r="1357" spans="2:9" ht="13.5" thickBot="1" x14ac:dyDescent="0.35">
      <c r="B1357" s="104" t="str">
        <f>'Unit tariffs'!$B$7</f>
        <v>Administration Levy (Indirect Cost)</v>
      </c>
      <c r="C1357" s="74"/>
      <c r="D1357" s="106">
        <f>'Unit tariffs'!$C$7</f>
        <v>0.1</v>
      </c>
      <c r="E1357" s="74" t="s">
        <v>311</v>
      </c>
      <c r="F1357" s="186">
        <f>+'Unit tariffs'!$F$7</f>
        <v>10000</v>
      </c>
      <c r="G1357" s="76"/>
      <c r="H1357" s="108">
        <f>IF(H1356*$D1357&gt;='Unit tariffs'!$E$7,'Unit tariffs'!$E$7,H1356*$D1357)</f>
        <v>1188.3307540017702</v>
      </c>
      <c r="I1357" s="108">
        <f>IF(I1356*$D1357&gt;='Unit tariffs'!$E$7,'Unit tariffs'!$E$7,I1356*$D1357)</f>
        <v>1090.1273490786932</v>
      </c>
    </row>
    <row r="1358" spans="2:9" ht="13.5" thickTop="1" x14ac:dyDescent="0.3">
      <c r="B1358" s="104" t="s">
        <v>44</v>
      </c>
      <c r="C1358" s="74"/>
      <c r="D1358" s="74"/>
      <c r="E1358" s="74"/>
      <c r="F1358" s="74"/>
      <c r="G1358" s="76"/>
      <c r="H1358" s="109">
        <f>SUM(H1356:H1357)</f>
        <v>13071.638294019471</v>
      </c>
      <c r="I1358" s="109">
        <f>SUM(I1356:I1357)</f>
        <v>11991.400839865624</v>
      </c>
    </row>
    <row r="1359" spans="2:9" ht="13" x14ac:dyDescent="0.3">
      <c r="B1359" s="104"/>
      <c r="C1359" s="74"/>
      <c r="D1359" s="74"/>
      <c r="E1359" s="74"/>
      <c r="F1359" s="74"/>
      <c r="G1359" s="76"/>
      <c r="H1359" s="74"/>
      <c r="I1359" s="74"/>
    </row>
    <row r="1360" spans="2:9" ht="13" x14ac:dyDescent="0.3">
      <c r="B1360" s="104" t="s">
        <v>45</v>
      </c>
      <c r="C1360" s="74"/>
      <c r="D1360" s="74"/>
      <c r="E1360" s="74"/>
      <c r="F1360" s="74"/>
      <c r="G1360" s="84">
        <v>8130</v>
      </c>
      <c r="H1360" s="84">
        <f>ROUND(H1358,-1)</f>
        <v>13070</v>
      </c>
      <c r="I1360" s="84">
        <f>ROUND(I1358,-1)</f>
        <v>11990</v>
      </c>
    </row>
    <row r="1361" spans="2:9" ht="13" x14ac:dyDescent="0.3">
      <c r="B1361" s="74"/>
      <c r="C1361" s="74"/>
      <c r="D1361" s="74"/>
      <c r="E1361" s="74"/>
      <c r="F1361" s="74"/>
      <c r="G1361" s="74"/>
      <c r="H1361" s="76"/>
      <c r="I1361" s="76"/>
    </row>
    <row r="1362" spans="2:9" ht="13" x14ac:dyDescent="0.3">
      <c r="B1362" s="74"/>
      <c r="C1362" s="74"/>
      <c r="D1362" s="74"/>
      <c r="E1362" s="74"/>
      <c r="F1362" s="74"/>
      <c r="G1362" s="74"/>
      <c r="H1362" s="112">
        <f>(+H1360-G1360)/G1360</f>
        <v>0.60762607626076259</v>
      </c>
      <c r="I1362" s="112">
        <f>(+I1360-H1360)/H1360</f>
        <v>-8.2631981637337412E-2</v>
      </c>
    </row>
    <row r="1363" spans="2:9" ht="13" x14ac:dyDescent="0.3">
      <c r="B1363" s="74"/>
      <c r="C1363" s="74"/>
      <c r="D1363" s="74"/>
      <c r="E1363" s="74"/>
      <c r="F1363" s="74"/>
      <c r="G1363" s="74"/>
      <c r="H1363" s="112"/>
      <c r="I1363" s="112"/>
    </row>
    <row r="1364" spans="2:9" ht="13" thickBot="1" x14ac:dyDescent="0.3">
      <c r="B1364" s="717"/>
      <c r="C1364" s="717"/>
      <c r="D1364" s="717"/>
      <c r="E1364" s="717"/>
      <c r="F1364" s="717"/>
      <c r="G1364" s="717"/>
      <c r="H1364" s="717"/>
      <c r="I1364" s="717"/>
    </row>
    <row r="1365" spans="2:9" ht="13" thickTop="1" x14ac:dyDescent="0.25"/>
    <row r="1368" spans="2:9" ht="26" customHeight="1" x14ac:dyDescent="0.3">
      <c r="B1368" s="931" t="s">
        <v>727</v>
      </c>
      <c r="C1368" s="932"/>
      <c r="D1368" s="932"/>
      <c r="E1368" s="932"/>
      <c r="F1368" s="932"/>
      <c r="G1368" s="933"/>
      <c r="H1368" s="807" t="s">
        <v>667</v>
      </c>
      <c r="I1368" s="807" t="s">
        <v>667</v>
      </c>
    </row>
    <row r="1369" spans="2:9" ht="13" x14ac:dyDescent="0.3">
      <c r="B1369" s="74" t="s">
        <v>1</v>
      </c>
      <c r="C1369" s="74"/>
      <c r="D1369" s="74"/>
      <c r="E1369" s="74"/>
      <c r="F1369" s="74"/>
      <c r="G1369" s="74"/>
      <c r="H1369" s="74"/>
      <c r="I1369" s="74"/>
    </row>
    <row r="1370" spans="2:9" ht="13" x14ac:dyDescent="0.3">
      <c r="B1370" s="74"/>
      <c r="C1370" s="74"/>
      <c r="D1370" s="74"/>
      <c r="E1370" s="74"/>
      <c r="F1370" s="74"/>
      <c r="G1370" s="74"/>
      <c r="H1370" s="128"/>
      <c r="I1370" s="128"/>
    </row>
    <row r="1371" spans="2:9" ht="13" x14ac:dyDescent="0.3">
      <c r="B1371" s="74" t="s">
        <v>1</v>
      </c>
      <c r="C1371" s="74"/>
      <c r="D1371" s="74"/>
      <c r="E1371" s="74"/>
      <c r="F1371" s="74"/>
      <c r="G1371" s="74"/>
      <c r="H1371" s="74"/>
      <c r="I1371" s="74"/>
    </row>
    <row r="1372" spans="2:9" ht="13" x14ac:dyDescent="0.3">
      <c r="B1372" s="74"/>
      <c r="C1372" s="74"/>
      <c r="D1372" s="74"/>
      <c r="E1372" s="74"/>
      <c r="F1372" s="74"/>
      <c r="G1372" s="74"/>
      <c r="H1372" s="103" t="str">
        <f>+'Unit tariffs'!$F$11</f>
        <v>2026/2027</v>
      </c>
      <c r="I1372" s="103" t="str">
        <f>+'Unit tariffs'!$F$11</f>
        <v>2026/2027</v>
      </c>
    </row>
    <row r="1373" spans="2:9" ht="13" x14ac:dyDescent="0.3">
      <c r="B1373" s="104" t="s">
        <v>117</v>
      </c>
      <c r="C1373" s="74"/>
      <c r="D1373" s="74"/>
      <c r="E1373" s="74"/>
      <c r="F1373" s="74"/>
      <c r="G1373" s="74"/>
      <c r="H1373" s="74"/>
      <c r="I1373" s="74"/>
    </row>
    <row r="1374" spans="2:9" ht="13" x14ac:dyDescent="0.3">
      <c r="B1374" s="74" t="s">
        <v>118</v>
      </c>
      <c r="C1374" s="74"/>
      <c r="D1374" s="74"/>
      <c r="E1374" s="74"/>
      <c r="F1374" s="74"/>
      <c r="G1374" s="74"/>
      <c r="H1374" s="74"/>
      <c r="I1374" s="74"/>
    </row>
    <row r="1375" spans="2:9" ht="13" x14ac:dyDescent="0.3">
      <c r="B1375" s="74">
        <v>2.5</v>
      </c>
      <c r="C1375" s="74" t="str">
        <f>'Unit tariffs'!B$137</f>
        <v>Primary Backbone - Peri Urban</v>
      </c>
      <c r="D1375" s="74"/>
      <c r="E1375" s="74"/>
      <c r="F1375" s="74" t="str">
        <f>'Unit tariffs'!C$131</f>
        <v>per kVA</v>
      </c>
      <c r="G1375" s="74"/>
      <c r="H1375" s="76">
        <f>VLOOKUP($C1375,'Unit tariffs'!$B$21:$F$155,5,FALSE)*$B1375</f>
        <v>3588.7446084105004</v>
      </c>
      <c r="I1375" s="76">
        <f>VLOOKUP($C1375,'Unit tariffs'!$B$21:$F$155,5,FALSE)*$B1375</f>
        <v>3588.7446084105004</v>
      </c>
    </row>
    <row r="1376" spans="2:9" ht="13" x14ac:dyDescent="0.3">
      <c r="B1376" s="74">
        <v>2.5</v>
      </c>
      <c r="C1376" s="74" t="str">
        <f>'Unit tariffs'!B$138</f>
        <v>Secondary Backbone - MV Peri Urban</v>
      </c>
      <c r="D1376" s="74"/>
      <c r="E1376" s="74"/>
      <c r="F1376" s="74" t="str">
        <f>'Unit tariffs'!C$132</f>
        <v>per kVA</v>
      </c>
      <c r="G1376" s="74"/>
      <c r="H1376" s="76">
        <f>VLOOKUP($C1376,'Unit tariffs'!$B$21:$F$155,5,FALSE)*$B1376</f>
        <v>3020.01571400375</v>
      </c>
      <c r="I1376" s="76">
        <f>VLOOKUP($C1376,'Unit tariffs'!$B$21:$F$155,5,FALSE)*$B1376</f>
        <v>3020.01571400375</v>
      </c>
    </row>
    <row r="1377" spans="2:9" ht="13" x14ac:dyDescent="0.3">
      <c r="B1377" s="74">
        <v>2.5</v>
      </c>
      <c r="C1377" s="74" t="str">
        <f>'Unit tariffs'!B$139</f>
        <v>Secondary Backbone - LV Peri Urban</v>
      </c>
      <c r="D1377" s="74"/>
      <c r="E1377" s="74"/>
      <c r="F1377" s="74" t="str">
        <f>'Unit tariffs'!C$133</f>
        <v>per kVA</v>
      </c>
      <c r="G1377" s="74"/>
      <c r="H1377" s="81">
        <f>VLOOKUP($C1377,'Unit tariffs'!$B$21:$F$155,5,FALSE)*$B1377</f>
        <v>4954.2545147480005</v>
      </c>
      <c r="I1377" s="81">
        <f>VLOOKUP($C1377,'Unit tariffs'!$B$21:$F$155,5,FALSE)*$B1377</f>
        <v>4954.2545147480005</v>
      </c>
    </row>
    <row r="1378" spans="2:9" ht="13" x14ac:dyDescent="0.3">
      <c r="B1378" s="74"/>
      <c r="C1378" s="74"/>
      <c r="D1378" s="74"/>
      <c r="E1378" s="74"/>
      <c r="F1378" s="74"/>
      <c r="G1378" s="74"/>
      <c r="H1378" s="76">
        <f>SUM(H1375:H1377)</f>
        <v>11563.014837162251</v>
      </c>
      <c r="I1378" s="76">
        <f>SUM(I1375:I1377)</f>
        <v>11563.014837162251</v>
      </c>
    </row>
    <row r="1379" spans="2:9" ht="13" x14ac:dyDescent="0.3">
      <c r="B1379" s="74"/>
      <c r="C1379" s="74"/>
      <c r="D1379" s="74"/>
      <c r="E1379" s="74"/>
      <c r="F1379" s="74"/>
      <c r="G1379" s="74"/>
      <c r="H1379" s="76"/>
      <c r="I1379" s="76"/>
    </row>
    <row r="1380" spans="2:9" ht="13" x14ac:dyDescent="0.3">
      <c r="B1380" s="104" t="s">
        <v>41</v>
      </c>
      <c r="C1380" s="74"/>
      <c r="D1380" s="74"/>
      <c r="E1380" s="74"/>
      <c r="F1380" s="74"/>
      <c r="G1380" s="74"/>
      <c r="H1380" s="76"/>
      <c r="I1380" s="76"/>
    </row>
    <row r="1381" spans="2:9" ht="14.5" x14ac:dyDescent="0.35">
      <c r="B1381" s="74">
        <v>1</v>
      </c>
      <c r="C1381" s="705" t="str">
        <f>'Unit tariffs'!B46</f>
        <v>METER: TIME OF USE 100 AMP</v>
      </c>
      <c r="D1381" s="74"/>
      <c r="E1381" s="74"/>
      <c r="F1381" s="74"/>
      <c r="G1381" s="74"/>
      <c r="H1381" s="76">
        <f>VLOOKUP($C1381,'Unit tariffs'!$B$21:$F$123,5,FALSE)*$B1381</f>
        <v>0</v>
      </c>
      <c r="I1381" s="76">
        <f>VLOOKUP($C1381,'Unit tariffs'!$B$21:$F$123,5,FALSE)*$B1381</f>
        <v>0</v>
      </c>
    </row>
    <row r="1382" spans="2:9" ht="13" x14ac:dyDescent="0.3">
      <c r="B1382" s="74">
        <v>3</v>
      </c>
      <c r="C1382" s="74" t="str">
        <f>'Unit tariffs'!B43</f>
        <v>x 80 A circuit breaker (5kA) - Orange</v>
      </c>
      <c r="D1382" s="74"/>
      <c r="E1382" s="74"/>
      <c r="F1382" s="74"/>
      <c r="G1382" s="74"/>
      <c r="H1382" s="76">
        <f>VLOOKUP($C1382,'Unit tariffs'!$B$21:$F$123,5,FALSE)*$B1382</f>
        <v>0</v>
      </c>
      <c r="I1382" s="76">
        <f>VLOOKUP($C1382,'Unit tariffs'!$B$21:$F$123,5,FALSE)*$B1382</f>
        <v>0</v>
      </c>
    </row>
    <row r="1383" spans="2:9" ht="13" x14ac:dyDescent="0.3">
      <c r="B1383" s="74">
        <v>1</v>
      </c>
      <c r="C1383" s="74" t="str">
        <f>'Unit tariffs'!B21</f>
        <v>Installation material</v>
      </c>
      <c r="D1383" s="74"/>
      <c r="E1383" s="74"/>
      <c r="F1383" s="74"/>
      <c r="G1383" s="74"/>
      <c r="H1383" s="81">
        <f>VLOOKUP($C1383,'Unit tariffs'!$B$21:$F$123,5,FALSE)*$B1383</f>
        <v>282.48325</v>
      </c>
      <c r="I1383" s="81">
        <f>VLOOKUP($C1383,'Unit tariffs'!$B$21:$F$123,5,FALSE)*$B1383</f>
        <v>282.48325</v>
      </c>
    </row>
    <row r="1384" spans="2:9" ht="13" x14ac:dyDescent="0.3">
      <c r="B1384" s="74"/>
      <c r="C1384" s="74"/>
      <c r="D1384" s="74"/>
      <c r="E1384" s="74"/>
      <c r="F1384" s="74"/>
      <c r="G1384" s="76"/>
      <c r="H1384" s="76">
        <f>SUM(H1381:H1383)</f>
        <v>282.48325</v>
      </c>
      <c r="I1384" s="76">
        <f>SUM(I1381:I1383)</f>
        <v>282.48325</v>
      </c>
    </row>
    <row r="1385" spans="2:9" ht="13" x14ac:dyDescent="0.3">
      <c r="B1385" s="74"/>
      <c r="C1385" s="74"/>
      <c r="D1385" s="74"/>
      <c r="E1385" s="74"/>
      <c r="F1385" s="74"/>
      <c r="G1385" s="76"/>
      <c r="H1385" s="76"/>
      <c r="I1385" s="76"/>
    </row>
    <row r="1386" spans="2:9" ht="13" x14ac:dyDescent="0.3">
      <c r="B1386" s="104" t="s">
        <v>42</v>
      </c>
      <c r="C1386" s="74"/>
      <c r="D1386" s="74"/>
      <c r="E1386" s="74"/>
      <c r="F1386" s="74"/>
      <c r="G1386" s="74"/>
    </row>
    <row r="1387" spans="2:9" ht="13" x14ac:dyDescent="0.3">
      <c r="B1387" s="74"/>
      <c r="C1387" s="74"/>
      <c r="D1387" s="74"/>
      <c r="E1387" s="74"/>
      <c r="F1387" s="74"/>
      <c r="G1387" s="74"/>
    </row>
    <row r="1388" spans="2:9" ht="13" x14ac:dyDescent="0.3">
      <c r="B1388" s="74">
        <v>2</v>
      </c>
      <c r="C1388" s="74" t="str">
        <f>'Unit tariffs'!B$87</f>
        <v xml:space="preserve">hour-artisan </v>
      </c>
      <c r="D1388" s="74"/>
      <c r="E1388" s="74"/>
      <c r="F1388" s="74"/>
      <c r="G1388" s="74"/>
      <c r="H1388" s="76">
        <f>VLOOKUP($C1388,'Unit tariffs'!$B$21:$F$123,5,FALSE)*$B1388</f>
        <v>702.38553230769242</v>
      </c>
      <c r="I1388" s="76">
        <f>VLOOKUP($C1388,'Unit tariffs'!$B$21:$F$123,5,FALSE)*$B1388</f>
        <v>702.38553230769242</v>
      </c>
    </row>
    <row r="1389" spans="2:9" ht="13" x14ac:dyDescent="0.3">
      <c r="B1389" s="74">
        <f>+B1388*2</f>
        <v>4</v>
      </c>
      <c r="C1389" s="74" t="str">
        <f>'Unit tariffs'!B$85</f>
        <v>hour-artisan assistant</v>
      </c>
      <c r="D1389" s="74"/>
      <c r="E1389" s="74"/>
      <c r="F1389" s="74"/>
      <c r="G1389" s="74"/>
      <c r="H1389" s="81">
        <f>VLOOKUP($C1389,'Unit tariffs'!$B$21:$F$123,5,FALSE)*$B1389</f>
        <v>559.29703384615391</v>
      </c>
      <c r="I1389" s="81">
        <f>VLOOKUP($C1389,'Unit tariffs'!$B$21:$F$123,5,FALSE)*$B1389</f>
        <v>559.29703384615391</v>
      </c>
    </row>
    <row r="1390" spans="2:9" ht="13" x14ac:dyDescent="0.3">
      <c r="B1390" s="74"/>
      <c r="C1390" s="74"/>
      <c r="D1390" s="74"/>
      <c r="E1390" s="74"/>
      <c r="F1390" s="74"/>
      <c r="G1390" s="74"/>
      <c r="H1390" s="76">
        <f>SUM(H1388:H1389)</f>
        <v>1261.6825661538464</v>
      </c>
      <c r="I1390" s="76">
        <f>SUM(I1388:I1389)</f>
        <v>1261.6825661538464</v>
      </c>
    </row>
    <row r="1391" spans="2:9" ht="13" x14ac:dyDescent="0.3">
      <c r="B1391" s="104" t="s">
        <v>43</v>
      </c>
      <c r="C1391" s="74"/>
      <c r="D1391" s="74"/>
      <c r="E1391" s="74"/>
      <c r="F1391" s="74"/>
      <c r="G1391" s="74"/>
    </row>
    <row r="1392" spans="2:9" ht="13" x14ac:dyDescent="0.3">
      <c r="B1392" s="74"/>
      <c r="C1392" s="74"/>
      <c r="D1392" s="74"/>
      <c r="E1392" s="74"/>
      <c r="F1392" s="74"/>
      <c r="G1392" s="74"/>
    </row>
    <row r="1393" spans="2:9" ht="13" x14ac:dyDescent="0.3">
      <c r="B1393" s="74">
        <v>24</v>
      </c>
      <c r="C1393" s="74" t="str">
        <f>'Unit tariffs'!B$111</f>
        <v>km-truck with platform</v>
      </c>
      <c r="D1393" s="74"/>
      <c r="E1393" s="74"/>
      <c r="F1393" s="74"/>
      <c r="G1393" s="74"/>
      <c r="H1393" s="76">
        <f>VLOOKUP($C1393,'Unit tariffs'!$B$21:$F$123,5,FALSE)*$B1393</f>
        <v>1182.7997218118533</v>
      </c>
      <c r="I1393" s="76">
        <f>VLOOKUP($C1393,'Unit tariffs'!$B$21:$F$123,5,FALSE)*$B1393</f>
        <v>1182.7997218118533</v>
      </c>
    </row>
    <row r="1394" spans="2:9" ht="13" x14ac:dyDescent="0.3">
      <c r="B1394" s="74">
        <v>0.5</v>
      </c>
      <c r="C1394" s="74" t="str">
        <f>'Unit tariffs'!B$112</f>
        <v>hour-truck with platform</v>
      </c>
      <c r="D1394" s="74"/>
      <c r="E1394" s="74"/>
      <c r="F1394" s="74"/>
      <c r="G1394" s="74"/>
      <c r="H1394" s="76">
        <f>VLOOKUP($C1394,'Unit tariffs'!$B$21:$F$123,5,FALSE)*$B1394</f>
        <v>119.9215602481396</v>
      </c>
      <c r="I1394" s="76">
        <f>VLOOKUP($C1394,'Unit tariffs'!$B$21:$F$123,5,FALSE)*$B1394</f>
        <v>119.9215602481396</v>
      </c>
    </row>
    <row r="1395" spans="2:9" ht="13" x14ac:dyDescent="0.3">
      <c r="B1395" s="74"/>
      <c r="C1395" s="74"/>
      <c r="D1395" s="74"/>
      <c r="E1395" s="74"/>
      <c r="F1395" s="74"/>
      <c r="G1395" s="74"/>
      <c r="H1395" s="137">
        <f>SUM(H1393:H1394)</f>
        <v>1302.721282059993</v>
      </c>
      <c r="I1395" s="137">
        <f>SUM(I1393:I1394)</f>
        <v>1302.721282059993</v>
      </c>
    </row>
    <row r="1396" spans="2:9" ht="13" x14ac:dyDescent="0.3">
      <c r="B1396" s="74"/>
      <c r="C1396" s="74"/>
      <c r="D1396" s="74"/>
      <c r="E1396" s="74"/>
      <c r="F1396" s="74"/>
      <c r="G1396" s="76"/>
    </row>
    <row r="1397" spans="2:9" ht="13" x14ac:dyDescent="0.3">
      <c r="G1397" s="76"/>
    </row>
    <row r="1398" spans="2:9" ht="13" x14ac:dyDescent="0.3">
      <c r="B1398" s="104" t="str">
        <f>'Unit tariffs'!$B$7</f>
        <v>Administration Levy (Indirect Cost)</v>
      </c>
      <c r="C1398" s="74"/>
      <c r="D1398" s="106">
        <f>'Unit tariffs'!$C$7</f>
        <v>0.1</v>
      </c>
      <c r="E1398" s="74" t="s">
        <v>311</v>
      </c>
      <c r="F1398" s="186">
        <f>+'Unit tariffs'!$F$7</f>
        <v>10000</v>
      </c>
      <c r="G1398" s="76"/>
      <c r="H1398" s="76">
        <f>+H1395+H1390+H1384+H1378</f>
        <v>14409.90193537609</v>
      </c>
      <c r="I1398" s="76">
        <f>+I1395+I1390+I1384+I1378</f>
        <v>14409.90193537609</v>
      </c>
    </row>
    <row r="1399" spans="2:9" ht="13.5" thickBot="1" x14ac:dyDescent="0.35">
      <c r="B1399" s="104" t="s">
        <v>44</v>
      </c>
      <c r="C1399" s="74"/>
      <c r="D1399" s="74"/>
      <c r="E1399" s="74"/>
      <c r="F1399" s="74"/>
      <c r="G1399" s="76"/>
      <c r="H1399" s="108">
        <f>IF(H1398*$D1398&gt;='Unit tariffs'!$E$7,'Unit tariffs'!$E$7,H1398*$D1398)</f>
        <v>1440.9901935376092</v>
      </c>
      <c r="I1399" s="108">
        <f>IF(I1398*$D1398&gt;='Unit tariffs'!$E$7,'Unit tariffs'!$E$7,I1398*$D1398)</f>
        <v>1440.9901935376092</v>
      </c>
    </row>
    <row r="1400" spans="2:9" ht="13.5" thickTop="1" x14ac:dyDescent="0.3">
      <c r="B1400" s="104"/>
      <c r="C1400" s="74"/>
      <c r="D1400" s="74"/>
      <c r="E1400" s="74"/>
      <c r="F1400" s="74"/>
      <c r="G1400" s="74"/>
      <c r="H1400" s="109">
        <f>SUM(H1398:H1399)</f>
        <v>15850.8921289137</v>
      </c>
      <c r="I1400" s="109">
        <f>SUM(I1398:I1399)</f>
        <v>15850.8921289137</v>
      </c>
    </row>
    <row r="1401" spans="2:9" ht="13" x14ac:dyDescent="0.3">
      <c r="B1401" s="104" t="s">
        <v>45</v>
      </c>
      <c r="C1401" s="74"/>
      <c r="D1401" s="74"/>
      <c r="E1401" s="74"/>
      <c r="F1401" s="74"/>
      <c r="G1401" s="74"/>
      <c r="H1401" s="74"/>
      <c r="I1401" s="74"/>
    </row>
    <row r="1402" spans="2:9" ht="13" x14ac:dyDescent="0.3">
      <c r="B1402" s="74"/>
      <c r="C1402" s="74"/>
      <c r="D1402" s="74"/>
      <c r="E1402" s="74"/>
      <c r="F1402" s="74"/>
      <c r="G1402" s="74"/>
      <c r="H1402" s="84">
        <f>ROUND(H1400,-1)</f>
        <v>15850</v>
      </c>
      <c r="I1402" s="84">
        <f>ROUND(I1400,-1)</f>
        <v>15850</v>
      </c>
    </row>
    <row r="1403" spans="2:9" ht="13" x14ac:dyDescent="0.3">
      <c r="B1403" s="74"/>
      <c r="C1403" s="74"/>
      <c r="D1403" s="74"/>
      <c r="E1403" s="74"/>
      <c r="F1403" s="74"/>
      <c r="G1403" s="74"/>
      <c r="H1403" s="76"/>
      <c r="I1403" s="76"/>
    </row>
    <row r="1404" spans="2:9" ht="13" x14ac:dyDescent="0.3">
      <c r="B1404" s="74"/>
      <c r="C1404" s="74"/>
      <c r="D1404" s="74"/>
      <c r="E1404" s="74"/>
      <c r="F1404" s="74"/>
      <c r="G1404" s="74"/>
      <c r="H1404" s="112" t="e">
        <f>(+H1402-G1402)/G1402</f>
        <v>#DIV/0!</v>
      </c>
      <c r="I1404" s="112">
        <f>(+I1402-H1402)/H1402</f>
        <v>0</v>
      </c>
    </row>
    <row r="1405" spans="2:9" ht="13" x14ac:dyDescent="0.3">
      <c r="B1405" s="74"/>
      <c r="C1405" s="74"/>
      <c r="D1405" s="74"/>
      <c r="E1405" s="74"/>
      <c r="F1405" s="74"/>
      <c r="G1405" s="74"/>
      <c r="H1405" s="112"/>
      <c r="I1405" s="112"/>
    </row>
    <row r="1406" spans="2:9" ht="13.5" thickBot="1" x14ac:dyDescent="0.35">
      <c r="B1406" s="123"/>
      <c r="C1406" s="123"/>
      <c r="D1406" s="123"/>
      <c r="E1406" s="123"/>
      <c r="F1406" s="123"/>
      <c r="G1406" s="123"/>
      <c r="H1406" s="123"/>
      <c r="I1406" s="123"/>
    </row>
    <row r="1407" spans="2:9" ht="13.5" thickTop="1" x14ac:dyDescent="0.3">
      <c r="B1407" s="134"/>
      <c r="C1407" s="120"/>
      <c r="D1407" s="120"/>
      <c r="E1407" s="120" t="s">
        <v>1</v>
      </c>
      <c r="F1407" s="120"/>
      <c r="G1407" s="120"/>
      <c r="H1407" s="120"/>
      <c r="I1407" s="120"/>
    </row>
    <row r="1408" spans="2:9" ht="26" x14ac:dyDescent="0.3">
      <c r="B1408" s="931" t="s">
        <v>728</v>
      </c>
      <c r="C1408" s="932"/>
      <c r="D1408" s="932"/>
      <c r="E1408" s="932"/>
      <c r="F1408" s="932"/>
      <c r="G1408" s="933"/>
      <c r="H1408" s="807" t="s">
        <v>669</v>
      </c>
      <c r="I1408" s="807" t="s">
        <v>669</v>
      </c>
    </row>
    <row r="1409" spans="2:9" ht="13" x14ac:dyDescent="0.3">
      <c r="B1409" s="74" t="s">
        <v>1</v>
      </c>
      <c r="C1409" s="74"/>
      <c r="D1409" s="74"/>
      <c r="E1409" s="74"/>
      <c r="F1409" s="74"/>
      <c r="G1409" s="74"/>
      <c r="H1409" s="74"/>
      <c r="I1409" s="74"/>
    </row>
    <row r="1410" spans="2:9" ht="13" x14ac:dyDescent="0.3">
      <c r="B1410" s="74"/>
      <c r="C1410" s="74"/>
      <c r="D1410" s="74"/>
      <c r="E1410" s="74"/>
      <c r="F1410" s="74"/>
      <c r="G1410" s="74"/>
      <c r="H1410" s="103" t="str">
        <f>+'Unit tariffs'!$F$11</f>
        <v>2026/2027</v>
      </c>
      <c r="I1410" s="103" t="str">
        <f>+'Unit tariffs'!$F$11</f>
        <v>2026/2027</v>
      </c>
    </row>
    <row r="1411" spans="2:9" ht="13" x14ac:dyDescent="0.3">
      <c r="B1411" s="104" t="s">
        <v>117</v>
      </c>
      <c r="C1411" s="74"/>
      <c r="D1411" s="74"/>
      <c r="E1411" s="74"/>
      <c r="F1411" s="74"/>
      <c r="G1411" s="74"/>
      <c r="H1411" s="76"/>
      <c r="I1411" s="76"/>
    </row>
    <row r="1412" spans="2:9" ht="13" x14ac:dyDescent="0.3">
      <c r="B1412" s="74" t="s">
        <v>118</v>
      </c>
      <c r="C1412" s="74"/>
      <c r="D1412" s="74"/>
      <c r="E1412" s="74"/>
      <c r="F1412" s="74"/>
      <c r="G1412" s="74"/>
    </row>
    <row r="1413" spans="2:9" ht="13" x14ac:dyDescent="0.3">
      <c r="B1413" s="74">
        <v>2.5</v>
      </c>
      <c r="C1413" s="74" t="str">
        <f>'Unit tariffs'!B$138</f>
        <v>Secondary Backbone - MV Peri Urban</v>
      </c>
      <c r="D1413" s="74"/>
      <c r="E1413" s="74"/>
      <c r="F1413" s="74" t="str">
        <f>'Unit tariffs'!C$132</f>
        <v>per kVA</v>
      </c>
      <c r="G1413" s="74"/>
      <c r="H1413" s="76">
        <f>VLOOKUP($C1413,'Unit tariffs'!$B$21:$F$158,5,FALSE)*$B1413</f>
        <v>3020.01571400375</v>
      </c>
      <c r="I1413" s="76">
        <f>VLOOKUP($C1413,'Unit tariffs'!$B$21:$F$158,5,FALSE)*$B1413</f>
        <v>3020.01571400375</v>
      </c>
    </row>
    <row r="1414" spans="2:9" ht="13" x14ac:dyDescent="0.3">
      <c r="B1414" s="74">
        <v>2.5</v>
      </c>
      <c r="C1414" s="74" t="str">
        <f>'Unit tariffs'!B$139</f>
        <v>Secondary Backbone - LV Peri Urban</v>
      </c>
      <c r="D1414" s="74"/>
      <c r="E1414" s="74"/>
      <c r="F1414" s="74" t="str">
        <f>'Unit tariffs'!C$133</f>
        <v>per kVA</v>
      </c>
      <c r="G1414" s="74"/>
      <c r="H1414" s="81">
        <f>VLOOKUP($C1414,'Unit tariffs'!$B$21:$F$158,5,FALSE)*$B1414</f>
        <v>4954.2545147480005</v>
      </c>
      <c r="I1414" s="81">
        <f>VLOOKUP($C1414,'Unit tariffs'!$B$21:$F$158,5,FALSE)*$B1414</f>
        <v>4954.2545147480005</v>
      </c>
    </row>
    <row r="1415" spans="2:9" ht="13" x14ac:dyDescent="0.3">
      <c r="B1415" s="74"/>
      <c r="C1415" s="74"/>
      <c r="D1415" s="74"/>
      <c r="E1415" s="74"/>
      <c r="F1415" s="74"/>
      <c r="G1415" s="74"/>
      <c r="H1415" s="76">
        <f>SUM(H1413:H1414)</f>
        <v>7974.2702287517504</v>
      </c>
      <c r="I1415" s="76">
        <f>SUM(I1413:I1414)</f>
        <v>7974.2702287517504</v>
      </c>
    </row>
    <row r="1416" spans="2:9" ht="13" x14ac:dyDescent="0.3">
      <c r="B1416" s="104" t="s">
        <v>41</v>
      </c>
      <c r="C1416" s="74"/>
      <c r="D1416" s="74"/>
      <c r="E1416" s="74"/>
      <c r="F1416" s="74"/>
      <c r="G1416" s="74"/>
      <c r="H1416" s="76"/>
      <c r="I1416" s="76"/>
    </row>
    <row r="1417" spans="2:9" ht="14.5" x14ac:dyDescent="0.35">
      <c r="B1417" s="74">
        <v>1</v>
      </c>
      <c r="C1417" s="705" t="str">
        <f>'Unit tariffs'!B46</f>
        <v>METER: TIME OF USE 100 AMP</v>
      </c>
      <c r="D1417" s="74"/>
      <c r="E1417" s="74"/>
      <c r="F1417" s="74"/>
      <c r="G1417" s="74"/>
      <c r="H1417" s="76">
        <f>VLOOKUP($C1417,'Unit tariffs'!$B$21:$F$123,5,FALSE)*$B1417</f>
        <v>0</v>
      </c>
      <c r="I1417" s="76">
        <f>VLOOKUP($C1417,'Unit tariffs'!$B$21:$F$123,5,FALSE)*$B1417</f>
        <v>0</v>
      </c>
    </row>
    <row r="1418" spans="2:9" ht="13" x14ac:dyDescent="0.3">
      <c r="B1418" s="74">
        <v>3</v>
      </c>
      <c r="C1418" s="74" t="str">
        <f>'Unit tariffs'!B43</f>
        <v>x 80 A circuit breaker (5kA) - Orange</v>
      </c>
      <c r="D1418" s="74"/>
      <c r="E1418" s="74"/>
      <c r="F1418" s="74"/>
      <c r="G1418" s="74"/>
      <c r="H1418" s="76">
        <f>VLOOKUP($C1418,'Unit tariffs'!$B$21:$F$123,5,FALSE)*$B1418</f>
        <v>0</v>
      </c>
      <c r="I1418" s="76">
        <f>VLOOKUP($C1418,'Unit tariffs'!$B$21:$F$123,5,FALSE)*$B1418</f>
        <v>0</v>
      </c>
    </row>
    <row r="1419" spans="2:9" ht="13" x14ac:dyDescent="0.3">
      <c r="B1419" s="74">
        <v>1</v>
      </c>
      <c r="C1419" s="74" t="str">
        <f>'Unit tariffs'!B21</f>
        <v>Installation material</v>
      </c>
      <c r="D1419" s="74"/>
      <c r="E1419" s="74"/>
      <c r="F1419" s="74"/>
      <c r="G1419" s="74"/>
      <c r="H1419" s="81">
        <f>VLOOKUP($C1419,'Unit tariffs'!$B$21:$F$123,5,FALSE)*$B1419</f>
        <v>282.48325</v>
      </c>
      <c r="I1419" s="81">
        <f>VLOOKUP($C1419,'Unit tariffs'!$B$21:$F$123,5,FALSE)*$B1419</f>
        <v>282.48325</v>
      </c>
    </row>
    <row r="1420" spans="2:9" ht="13" x14ac:dyDescent="0.3">
      <c r="B1420" s="74"/>
      <c r="C1420" s="74"/>
      <c r="D1420" s="74"/>
      <c r="E1420" s="74"/>
      <c r="F1420" s="74"/>
      <c r="G1420" s="76"/>
      <c r="H1420" s="76">
        <f>SUM(H1417:H1419)</f>
        <v>282.48325</v>
      </c>
      <c r="I1420" s="76">
        <f>SUM(I1417:I1419)</f>
        <v>282.48325</v>
      </c>
    </row>
    <row r="1421" spans="2:9" ht="13" x14ac:dyDescent="0.3">
      <c r="B1421" s="104" t="s">
        <v>42</v>
      </c>
      <c r="C1421" s="74"/>
      <c r="D1421" s="74"/>
      <c r="E1421" s="74"/>
      <c r="F1421" s="74"/>
      <c r="G1421" s="74"/>
      <c r="H1421" s="74"/>
      <c r="I1421" s="74"/>
    </row>
    <row r="1422" spans="2:9" ht="13" x14ac:dyDescent="0.3">
      <c r="B1422" s="74">
        <v>2</v>
      </c>
      <c r="C1422" s="74" t="str">
        <f>'Unit tariffs'!B$87</f>
        <v xml:space="preserve">hour-artisan </v>
      </c>
      <c r="D1422" s="74"/>
      <c r="E1422" s="74"/>
      <c r="F1422" s="74"/>
      <c r="G1422" s="74"/>
      <c r="H1422" s="76">
        <f>VLOOKUP($C1422,'Unit tariffs'!$B$21:$F$123,5,FALSE)*$B1422</f>
        <v>702.38553230769242</v>
      </c>
      <c r="I1422" s="76">
        <f>VLOOKUP($C1422,'Unit tariffs'!$B$21:$F$123,5,FALSE)*$B1422</f>
        <v>702.38553230769242</v>
      </c>
    </row>
    <row r="1423" spans="2:9" ht="13" x14ac:dyDescent="0.3">
      <c r="B1423" s="74">
        <f>+B1422*1</f>
        <v>2</v>
      </c>
      <c r="C1423" s="74" t="str">
        <f>'Unit tariffs'!B$85</f>
        <v>hour-artisan assistant</v>
      </c>
      <c r="D1423" s="74"/>
      <c r="E1423" s="74"/>
      <c r="F1423" s="74"/>
      <c r="G1423" s="74"/>
      <c r="H1423" s="81">
        <f>VLOOKUP($C1423,'Unit tariffs'!$B$21:$F$123,5,FALSE)*$B1423</f>
        <v>279.64851692307695</v>
      </c>
      <c r="I1423" s="81">
        <f>VLOOKUP($C1423,'Unit tariffs'!$B$21:$F$123,5,FALSE)*$B1423</f>
        <v>279.64851692307695</v>
      </c>
    </row>
    <row r="1424" spans="2:9" ht="13" x14ac:dyDescent="0.3">
      <c r="B1424" s="74"/>
      <c r="C1424" s="74"/>
      <c r="D1424" s="74"/>
      <c r="E1424" s="74"/>
      <c r="F1424" s="74"/>
      <c r="G1424" s="74"/>
      <c r="H1424" s="76">
        <f>SUM(H1422:I1423)</f>
        <v>1964.0680984615387</v>
      </c>
      <c r="I1424" s="76">
        <f>SUM(I1422:J1423)</f>
        <v>982.03404923076937</v>
      </c>
    </row>
    <row r="1425" spans="2:9" ht="13" x14ac:dyDescent="0.3">
      <c r="B1425" s="104" t="s">
        <v>43</v>
      </c>
      <c r="C1425" s="74"/>
      <c r="D1425" s="74"/>
      <c r="E1425" s="74"/>
      <c r="F1425" s="74"/>
      <c r="G1425" s="74"/>
      <c r="H1425" s="74"/>
      <c r="I1425" s="74"/>
    </row>
    <row r="1426" spans="2:9" ht="13" x14ac:dyDescent="0.3">
      <c r="B1426" s="74">
        <v>24</v>
      </c>
      <c r="C1426" s="74" t="str">
        <f>'Unit tariffs'!B$111</f>
        <v>km-truck with platform</v>
      </c>
      <c r="D1426" s="74"/>
      <c r="E1426" s="74"/>
      <c r="F1426" s="74"/>
      <c r="G1426" s="74"/>
      <c r="H1426" s="76">
        <f>VLOOKUP($C1426,'Unit tariffs'!$B$21:$F$123,5,FALSE)*$B1426</f>
        <v>1182.7997218118533</v>
      </c>
      <c r="I1426" s="76">
        <f>VLOOKUP($C1426,'Unit tariffs'!$B$21:$F$123,5,FALSE)*$B1426</f>
        <v>1182.7997218118533</v>
      </c>
    </row>
    <row r="1427" spans="2:9" ht="13" x14ac:dyDescent="0.3">
      <c r="B1427" s="74">
        <f>+B1422</f>
        <v>2</v>
      </c>
      <c r="C1427" s="74" t="str">
        <f>'Unit tariffs'!B$112</f>
        <v>hour-truck with platform</v>
      </c>
      <c r="D1427" s="74"/>
      <c r="E1427" s="74"/>
      <c r="F1427" s="74"/>
      <c r="G1427" s="74"/>
      <c r="H1427" s="76">
        <f>VLOOKUP($C1427,'Unit tariffs'!$B$21:$F$123,5,FALSE)*$B1427</f>
        <v>479.6862409925584</v>
      </c>
      <c r="I1427" s="76">
        <f>VLOOKUP($C1427,'Unit tariffs'!$B$21:$F$123,5,FALSE)*$B1427</f>
        <v>479.6862409925584</v>
      </c>
    </row>
    <row r="1428" spans="2:9" ht="13" x14ac:dyDescent="0.3">
      <c r="B1428" s="74"/>
      <c r="C1428" s="74"/>
      <c r="D1428" s="74"/>
      <c r="E1428" s="74"/>
      <c r="F1428" s="74"/>
      <c r="G1428" s="74"/>
      <c r="H1428" s="137">
        <f>SUM(H1426:H1427)</f>
        <v>1662.4859628044117</v>
      </c>
      <c r="I1428" s="137">
        <f>SUM(I1426:I1427)</f>
        <v>1662.4859628044117</v>
      </c>
    </row>
    <row r="1431" spans="2:9" ht="13" x14ac:dyDescent="0.3">
      <c r="B1431" s="74"/>
      <c r="C1431" s="74"/>
      <c r="D1431" s="74"/>
      <c r="E1431" s="74"/>
      <c r="F1431" s="74"/>
      <c r="G1431" s="76"/>
      <c r="H1431" s="76">
        <f>+H1428+H1424+H1420+H1415</f>
        <v>11883.3075400177</v>
      </c>
      <c r="I1431" s="76">
        <f>+I1428+I1424+I1420+I1415</f>
        <v>10901.273490786931</v>
      </c>
    </row>
    <row r="1432" spans="2:9" ht="13.5" thickBot="1" x14ac:dyDescent="0.35">
      <c r="B1432" s="104" t="str">
        <f>'Unit tariffs'!$B$7</f>
        <v>Administration Levy (Indirect Cost)</v>
      </c>
      <c r="C1432" s="74"/>
      <c r="D1432" s="106">
        <f>'Unit tariffs'!$C$7</f>
        <v>0.1</v>
      </c>
      <c r="E1432" s="74" t="s">
        <v>311</v>
      </c>
      <c r="F1432" s="186">
        <f>+'Unit tariffs'!$F$7</f>
        <v>10000</v>
      </c>
      <c r="G1432" s="76"/>
      <c r="H1432" s="108">
        <f>IF(H1431*$D1432&gt;='Unit tariffs'!$E$7,'Unit tariffs'!$E$7,H1431*$D1432)</f>
        <v>1188.3307540017702</v>
      </c>
      <c r="I1432" s="108">
        <f>IF(I1431*$D1432&gt;='Unit tariffs'!$E$7,'Unit tariffs'!$E$7,I1431*$D1432)</f>
        <v>1090.1273490786932</v>
      </c>
    </row>
    <row r="1433" spans="2:9" ht="13.5" thickTop="1" x14ac:dyDescent="0.3">
      <c r="B1433" s="104" t="s">
        <v>44</v>
      </c>
      <c r="C1433" s="74"/>
      <c r="D1433" s="74"/>
      <c r="E1433" s="74"/>
      <c r="F1433" s="74"/>
      <c r="G1433" s="76"/>
      <c r="H1433" s="109">
        <f>SUM(H1431:H1432)</f>
        <v>13071.638294019471</v>
      </c>
      <c r="I1433" s="109">
        <f>SUM(I1431:I1432)</f>
        <v>11991.400839865624</v>
      </c>
    </row>
    <row r="1434" spans="2:9" ht="13" x14ac:dyDescent="0.3">
      <c r="B1434" s="104"/>
      <c r="C1434" s="74"/>
      <c r="D1434" s="74"/>
      <c r="E1434" s="74"/>
      <c r="F1434" s="74"/>
      <c r="G1434" s="76"/>
      <c r="H1434" s="74"/>
      <c r="I1434" s="74"/>
    </row>
    <row r="1435" spans="2:9" ht="13" x14ac:dyDescent="0.3">
      <c r="B1435" s="104" t="s">
        <v>45</v>
      </c>
      <c r="C1435" s="74"/>
      <c r="D1435" s="74"/>
      <c r="E1435" s="74"/>
      <c r="F1435" s="74"/>
      <c r="G1435" s="84">
        <v>8130</v>
      </c>
      <c r="H1435" s="84">
        <f>ROUND(H1433,-1)</f>
        <v>13070</v>
      </c>
      <c r="I1435" s="84">
        <f>ROUND(I1433,-1)</f>
        <v>11990</v>
      </c>
    </row>
    <row r="1436" spans="2:9" ht="13" x14ac:dyDescent="0.3">
      <c r="B1436" s="74"/>
      <c r="C1436" s="74"/>
      <c r="D1436" s="74"/>
      <c r="E1436" s="74"/>
      <c r="F1436" s="74"/>
      <c r="G1436" s="74"/>
      <c r="H1436" s="76"/>
      <c r="I1436" s="76"/>
    </row>
    <row r="1437" spans="2:9" ht="13" x14ac:dyDescent="0.3">
      <c r="B1437" s="74"/>
      <c r="C1437" s="74"/>
      <c r="D1437" s="74"/>
      <c r="E1437" s="74"/>
      <c r="F1437" s="74"/>
      <c r="G1437" s="74"/>
      <c r="H1437" s="112">
        <f>(+H1435-G1435)/G1435</f>
        <v>0.60762607626076259</v>
      </c>
      <c r="I1437" s="112">
        <f>(+I1435-H1435)/H1435</f>
        <v>-8.2631981637337412E-2</v>
      </c>
    </row>
    <row r="1438" spans="2:9" ht="13" thickBot="1" x14ac:dyDescent="0.3">
      <c r="B1438" s="717"/>
      <c r="C1438" s="717"/>
      <c r="D1438" s="717"/>
      <c r="E1438" s="717"/>
      <c r="F1438" s="717"/>
      <c r="G1438" s="717"/>
      <c r="H1438" s="717"/>
      <c r="I1438" s="717"/>
    </row>
    <row r="1439" spans="2:9" ht="13" thickTop="1" x14ac:dyDescent="0.25"/>
    <row r="1440" spans="2:9" ht="26" customHeight="1" x14ac:dyDescent="0.3">
      <c r="B1440" s="931" t="s">
        <v>729</v>
      </c>
      <c r="C1440" s="932"/>
      <c r="D1440" s="932"/>
      <c r="E1440" s="932"/>
      <c r="F1440" s="932"/>
      <c r="G1440" s="933"/>
      <c r="H1440" s="807" t="s">
        <v>670</v>
      </c>
      <c r="I1440" s="807" t="s">
        <v>670</v>
      </c>
    </row>
    <row r="1441" spans="2:9" ht="13" x14ac:dyDescent="0.3">
      <c r="B1441" s="74" t="s">
        <v>1</v>
      </c>
      <c r="C1441" s="74"/>
      <c r="D1441" s="74"/>
      <c r="E1441" s="74"/>
      <c r="F1441" s="74"/>
      <c r="G1441" s="74"/>
      <c r="H1441" s="74"/>
      <c r="I1441" s="74"/>
    </row>
    <row r="1442" spans="2:9" ht="13" x14ac:dyDescent="0.3">
      <c r="B1442" s="74" t="s">
        <v>1</v>
      </c>
      <c r="C1442" s="74"/>
      <c r="D1442" s="74"/>
      <c r="E1442" s="74"/>
      <c r="F1442" s="74"/>
      <c r="G1442" s="74"/>
      <c r="H1442" s="103" t="str">
        <f>+'Unit tariffs'!$F$11</f>
        <v>2026/2027</v>
      </c>
      <c r="I1442" s="103" t="str">
        <f>+'Unit tariffs'!$F$11</f>
        <v>2026/2027</v>
      </c>
    </row>
    <row r="1443" spans="2:9" ht="13" x14ac:dyDescent="0.3">
      <c r="B1443" s="74"/>
      <c r="C1443" s="74"/>
      <c r="D1443" s="74"/>
      <c r="E1443" s="74"/>
      <c r="F1443" s="74"/>
      <c r="G1443" s="74"/>
      <c r="H1443" s="127"/>
      <c r="I1443" s="127"/>
    </row>
    <row r="1444" spans="2:9" ht="13" x14ac:dyDescent="0.3">
      <c r="B1444" s="74"/>
      <c r="C1444" s="74"/>
      <c r="D1444" s="74"/>
      <c r="E1444" s="74"/>
      <c r="F1444" s="74"/>
      <c r="G1444" s="74"/>
    </row>
    <row r="1445" spans="2:9" ht="13" x14ac:dyDescent="0.3">
      <c r="B1445" s="104" t="s">
        <v>117</v>
      </c>
      <c r="C1445" s="74"/>
      <c r="D1445" s="74"/>
      <c r="E1445" s="74"/>
      <c r="F1445" s="74"/>
      <c r="G1445" s="74"/>
    </row>
    <row r="1446" spans="2:9" ht="13" x14ac:dyDescent="0.3">
      <c r="B1446" s="104"/>
      <c r="C1446" s="74"/>
      <c r="D1446" s="74"/>
      <c r="E1446" s="74"/>
      <c r="F1446" s="74"/>
      <c r="G1446" s="74"/>
      <c r="H1446" s="128"/>
      <c r="I1446" s="128"/>
    </row>
    <row r="1447" spans="2:9" ht="13" x14ac:dyDescent="0.3">
      <c r="B1447" s="74">
        <v>2.5</v>
      </c>
      <c r="C1447" s="74" t="str">
        <f>'Unit tariffs'!B137</f>
        <v>Primary Backbone - Peri Urban</v>
      </c>
      <c r="D1447" s="74"/>
      <c r="E1447" s="74"/>
      <c r="F1447" s="74" t="str">
        <f>'Unit tariffs'!C$132</f>
        <v>per kVA</v>
      </c>
      <c r="G1447" s="74"/>
      <c r="H1447" s="76">
        <f>VLOOKUP($C1447,'Unit tariffs'!$B$21:$F$158,5,FALSE)*$B1447</f>
        <v>3588.7446084105004</v>
      </c>
      <c r="I1447" s="76">
        <f>VLOOKUP($C1447,'Unit tariffs'!$B$21:$F$158,5,FALSE)*$B1447</f>
        <v>3588.7446084105004</v>
      </c>
    </row>
    <row r="1448" spans="2:9" ht="13" x14ac:dyDescent="0.3">
      <c r="B1448" s="74">
        <v>2.5</v>
      </c>
      <c r="C1448" s="74" t="str">
        <f>'Unit tariffs'!B$138</f>
        <v>Secondary Backbone - MV Peri Urban</v>
      </c>
      <c r="D1448" s="74"/>
      <c r="E1448" s="74"/>
      <c r="F1448" s="74" t="str">
        <f>'Unit tariffs'!C$132</f>
        <v>per kVA</v>
      </c>
      <c r="G1448" s="74"/>
      <c r="H1448" s="76">
        <f>VLOOKUP($C1448,'Unit tariffs'!$B$21:$F$158,5,FALSE)*$B1448</f>
        <v>3020.01571400375</v>
      </c>
      <c r="I1448" s="76">
        <f>VLOOKUP($C1448,'Unit tariffs'!$B$21:$F$158,5,FALSE)*$B1448</f>
        <v>3020.01571400375</v>
      </c>
    </row>
    <row r="1449" spans="2:9" ht="13" x14ac:dyDescent="0.3">
      <c r="B1449" s="74">
        <v>2.5</v>
      </c>
      <c r="C1449" s="74" t="str">
        <f>'Unit tariffs'!B$139</f>
        <v>Secondary Backbone - LV Peri Urban</v>
      </c>
      <c r="D1449" s="74"/>
      <c r="E1449" s="74"/>
      <c r="F1449" s="74" t="str">
        <f>'Unit tariffs'!C$133</f>
        <v>per kVA</v>
      </c>
      <c r="G1449" s="74"/>
      <c r="H1449" s="81">
        <f>VLOOKUP($C1449,'Unit tariffs'!$B$21:$F$158,5,FALSE)*$B1449</f>
        <v>4954.2545147480005</v>
      </c>
      <c r="I1449" s="81">
        <f>VLOOKUP($C1449,'Unit tariffs'!$B$21:$F$158,5,FALSE)*$B1449</f>
        <v>4954.2545147480005</v>
      </c>
    </row>
    <row r="1450" spans="2:9" ht="13" x14ac:dyDescent="0.3">
      <c r="B1450" s="74"/>
      <c r="C1450" s="74"/>
      <c r="D1450" s="74"/>
      <c r="E1450" s="74"/>
      <c r="F1450" s="74"/>
      <c r="G1450" s="74"/>
      <c r="H1450" s="76">
        <f>SUM(H1447:H1449)</f>
        <v>11563.014837162251</v>
      </c>
      <c r="I1450" s="76">
        <f>SUM(I1447:I1449)</f>
        <v>11563.014837162251</v>
      </c>
    </row>
    <row r="1451" spans="2:9" ht="13" x14ac:dyDescent="0.3">
      <c r="B1451" s="74"/>
      <c r="C1451" s="74"/>
      <c r="D1451" s="74"/>
      <c r="E1451" s="74"/>
      <c r="F1451" s="74"/>
      <c r="G1451" s="74"/>
      <c r="H1451" s="76"/>
      <c r="I1451" s="76"/>
    </row>
    <row r="1452" spans="2:9" ht="13" x14ac:dyDescent="0.3">
      <c r="B1452" s="104" t="s">
        <v>41</v>
      </c>
      <c r="C1452" s="74"/>
      <c r="D1452" s="74"/>
      <c r="E1452" s="74"/>
      <c r="F1452" s="74"/>
      <c r="G1452" s="74"/>
      <c r="H1452" s="74"/>
      <c r="I1452" s="74"/>
    </row>
    <row r="1453" spans="2:9" ht="13" x14ac:dyDescent="0.3">
      <c r="B1453" s="74"/>
      <c r="C1453" s="74"/>
      <c r="D1453" s="74"/>
      <c r="E1453" s="74"/>
      <c r="F1453" s="74"/>
      <c r="G1453" s="74"/>
    </row>
    <row r="1454" spans="2:9" ht="13" x14ac:dyDescent="0.3">
      <c r="B1454" s="74">
        <v>1</v>
      </c>
      <c r="C1454" s="347" t="str">
        <f>'Unit tariffs'!B34</f>
        <v>METER:S/P WIRED PRE-PAID</v>
      </c>
      <c r="D1454" s="74"/>
      <c r="E1454" s="74"/>
      <c r="F1454" s="74"/>
      <c r="G1454" s="74"/>
      <c r="H1454" s="189">
        <f>VLOOKUP($C1454,'Unit tariffs'!$B$21:$F$123,5,FALSE)*$B1454</f>
        <v>2142.3529679999997</v>
      </c>
      <c r="I1454" s="189">
        <f>VLOOKUP($C1454,'Unit tariffs'!$B$21:$F$123,5,FALSE)*$B1454</f>
        <v>2142.3529679999997</v>
      </c>
    </row>
    <row r="1455" spans="2:9" ht="13" x14ac:dyDescent="0.3">
      <c r="B1455" s="74">
        <v>3</v>
      </c>
      <c r="C1455" s="74" t="str">
        <f>'Unit tariffs'!B43</f>
        <v>x 80 A circuit breaker (5kA) - Orange</v>
      </c>
      <c r="D1455" s="74"/>
      <c r="E1455" s="74"/>
      <c r="F1455" s="74"/>
      <c r="G1455" s="74"/>
      <c r="H1455" s="76">
        <f>VLOOKUP($C1455,'Unit tariffs'!$B$21:$F$123,5,FALSE)*$B1455</f>
        <v>0</v>
      </c>
      <c r="I1455" s="76">
        <f>VLOOKUP($C1455,'Unit tariffs'!$B$21:$F$123,5,FALSE)*$B1455</f>
        <v>0</v>
      </c>
    </row>
    <row r="1456" spans="2:9" ht="13" x14ac:dyDescent="0.3">
      <c r="B1456" s="74">
        <v>1</v>
      </c>
      <c r="C1456" s="74" t="str">
        <f>'Unit tariffs'!B72</f>
        <v>Cable clamp (Clampex) - K26</v>
      </c>
      <c r="D1456" s="74"/>
      <c r="E1456" s="74"/>
      <c r="F1456" s="74"/>
      <c r="G1456" s="74"/>
      <c r="H1456" s="76">
        <f>VLOOKUP($C1456,'Unit tariffs'!$B$21:$F$123,5,FALSE)*$B1456</f>
        <v>1423.2410081400001</v>
      </c>
      <c r="I1456" s="76">
        <f>VLOOKUP($C1456,'Unit tariffs'!$B$21:$F$123,5,FALSE)*$B1456</f>
        <v>1423.2410081400001</v>
      </c>
    </row>
    <row r="1457" spans="2:9" ht="13" x14ac:dyDescent="0.3">
      <c r="B1457" s="74">
        <v>1</v>
      </c>
      <c r="C1457" s="74" t="str">
        <f>'Unit tariffs'!B21</f>
        <v>Installation material</v>
      </c>
      <c r="D1457" s="74"/>
      <c r="E1457" s="74"/>
      <c r="F1457" s="74"/>
      <c r="G1457" s="74"/>
      <c r="H1457" s="81">
        <f>VLOOKUP($C1457,'Unit tariffs'!$B$21:$F$123,5,FALSE)*$B1457</f>
        <v>282.48325</v>
      </c>
      <c r="I1457" s="81">
        <f>VLOOKUP($C1457,'Unit tariffs'!$B$21:$F$123,5,FALSE)*$B1457</f>
        <v>282.48325</v>
      </c>
    </row>
    <row r="1458" spans="2:9" ht="13" x14ac:dyDescent="0.3">
      <c r="B1458" s="74"/>
      <c r="C1458" s="74"/>
      <c r="D1458" s="74"/>
      <c r="E1458" s="74"/>
      <c r="F1458" s="74"/>
      <c r="G1458" s="74"/>
      <c r="H1458" s="76">
        <f>SUM(H1454:H1457)</f>
        <v>3848.0772261399998</v>
      </c>
      <c r="I1458" s="76">
        <f>SUM(I1454:I1457)</f>
        <v>3848.0772261399998</v>
      </c>
    </row>
    <row r="1459" spans="2:9" ht="13" x14ac:dyDescent="0.3">
      <c r="B1459" s="104" t="s">
        <v>42</v>
      </c>
      <c r="C1459" s="74"/>
      <c r="D1459" s="74"/>
      <c r="E1459" s="74"/>
      <c r="F1459" s="74"/>
      <c r="G1459" s="74"/>
      <c r="H1459" s="74"/>
      <c r="I1459" s="74"/>
    </row>
    <row r="1460" spans="2:9" ht="13" x14ac:dyDescent="0.3">
      <c r="B1460" s="74"/>
      <c r="C1460" s="74"/>
      <c r="D1460" s="74"/>
      <c r="E1460" s="74"/>
      <c r="F1460" s="74"/>
      <c r="G1460" s="74"/>
    </row>
    <row r="1461" spans="2:9" ht="13" x14ac:dyDescent="0.3">
      <c r="B1461" s="74">
        <v>1</v>
      </c>
      <c r="C1461" s="74" t="str">
        <f>'Unit tariffs'!B$87</f>
        <v xml:space="preserve">hour-artisan </v>
      </c>
      <c r="D1461" s="74"/>
      <c r="E1461" s="74"/>
      <c r="F1461" s="74"/>
      <c r="G1461" s="74"/>
      <c r="H1461" s="76">
        <f>VLOOKUP($C1461,'Unit tariffs'!$B$21:$F$123,5,FALSE)*$B1461</f>
        <v>351.19276615384621</v>
      </c>
      <c r="I1461" s="76">
        <f>VLOOKUP($C1461,'Unit tariffs'!$B$21:$F$123,5,FALSE)*$B1461</f>
        <v>351.19276615384621</v>
      </c>
    </row>
    <row r="1462" spans="2:9" ht="13" x14ac:dyDescent="0.3">
      <c r="B1462" s="74">
        <v>1</v>
      </c>
      <c r="C1462" s="74" t="str">
        <f>'Unit tariffs'!B$85</f>
        <v>hour-artisan assistant</v>
      </c>
      <c r="D1462" s="74"/>
      <c r="E1462" s="74"/>
      <c r="F1462" s="74"/>
      <c r="G1462" s="74"/>
      <c r="H1462" s="81">
        <f>VLOOKUP($C1462,'Unit tariffs'!$B$21:$F$123,5,FALSE)*$B1462</f>
        <v>139.82425846153848</v>
      </c>
      <c r="I1462" s="81">
        <f>VLOOKUP($C1462,'Unit tariffs'!$B$21:$F$123,5,FALSE)*$B1462</f>
        <v>139.82425846153848</v>
      </c>
    </row>
    <row r="1463" spans="2:9" ht="13" x14ac:dyDescent="0.3">
      <c r="B1463" s="74"/>
      <c r="C1463" s="74"/>
      <c r="D1463" s="74"/>
      <c r="E1463" s="74"/>
      <c r="F1463" s="74"/>
      <c r="G1463" s="74"/>
      <c r="H1463" s="76">
        <f>SUM(H1461:H1462)</f>
        <v>491.01702461538468</v>
      </c>
      <c r="I1463" s="76">
        <f>SUM(I1461:I1462)</f>
        <v>491.01702461538468</v>
      </c>
    </row>
    <row r="1464" spans="2:9" ht="13" x14ac:dyDescent="0.3">
      <c r="B1464" s="104" t="s">
        <v>43</v>
      </c>
      <c r="C1464" s="74"/>
      <c r="D1464" s="74"/>
      <c r="E1464" s="74"/>
      <c r="F1464" s="74"/>
      <c r="G1464" s="74"/>
      <c r="H1464" s="74"/>
      <c r="I1464" s="74"/>
    </row>
    <row r="1465" spans="2:9" ht="13" x14ac:dyDescent="0.3">
      <c r="B1465" s="74"/>
      <c r="C1465" s="74"/>
      <c r="D1465" s="74"/>
      <c r="E1465" s="74"/>
      <c r="F1465" s="74"/>
      <c r="G1465" s="74"/>
      <c r="H1465" s="74"/>
      <c r="I1465" s="74"/>
    </row>
    <row r="1466" spans="2:9" ht="13" x14ac:dyDescent="0.3">
      <c r="B1466" s="74">
        <v>24</v>
      </c>
      <c r="C1466" s="74" t="str">
        <f>'Unit tariffs'!B$111</f>
        <v>km-truck with platform</v>
      </c>
      <c r="D1466" s="74"/>
      <c r="E1466" s="74"/>
      <c r="F1466" s="74"/>
      <c r="G1466" s="74"/>
      <c r="H1466" s="76">
        <f>VLOOKUP($C1466,'Unit tariffs'!$B$21:$F$123,5,FALSE)*$B1466</f>
        <v>1182.7997218118533</v>
      </c>
      <c r="I1466" s="76">
        <f>VLOOKUP($C1466,'Unit tariffs'!$B$21:$F$123,5,FALSE)*$B1466</f>
        <v>1182.7997218118533</v>
      </c>
    </row>
    <row r="1467" spans="2:9" ht="13" x14ac:dyDescent="0.3">
      <c r="B1467" s="74">
        <v>1</v>
      </c>
      <c r="C1467" s="74" t="str">
        <f>'Unit tariffs'!B$112</f>
        <v>hour-truck with platform</v>
      </c>
      <c r="D1467" s="74"/>
      <c r="E1467" s="74"/>
      <c r="F1467" s="74"/>
      <c r="G1467" s="74"/>
      <c r="H1467" s="76">
        <f>VLOOKUP($C1467,'Unit tariffs'!$B$21:$F$123,5,FALSE)*$B1467</f>
        <v>239.8431204962792</v>
      </c>
      <c r="I1467" s="76">
        <f>VLOOKUP($C1467,'Unit tariffs'!$B$21:$F$123,5,FALSE)*$B1467</f>
        <v>239.8431204962792</v>
      </c>
    </row>
    <row r="1468" spans="2:9" ht="13" x14ac:dyDescent="0.3">
      <c r="B1468" s="74"/>
      <c r="C1468" s="74"/>
      <c r="D1468" s="74"/>
      <c r="E1468" s="74"/>
      <c r="F1468" s="74"/>
      <c r="G1468" s="74"/>
      <c r="H1468" s="137">
        <f>SUM(H1466:H1467)</f>
        <v>1422.6428423081325</v>
      </c>
      <c r="I1468" s="137">
        <f>SUM(I1466:I1467)</f>
        <v>1422.6428423081325</v>
      </c>
    </row>
    <row r="1471" spans="2:9" ht="13" x14ac:dyDescent="0.3">
      <c r="B1471" s="74"/>
      <c r="C1471" s="74"/>
      <c r="D1471" s="74"/>
      <c r="E1471" s="74"/>
      <c r="F1471" s="74"/>
      <c r="G1471" s="74"/>
      <c r="H1471" s="76">
        <f>+H1468+H1463+H1458+H1450</f>
        <v>17324.751930225768</v>
      </c>
      <c r="I1471" s="76">
        <f>+I1468+I1463+I1458+I1450</f>
        <v>17324.751930225768</v>
      </c>
    </row>
    <row r="1472" spans="2:9" ht="13.5" thickBot="1" x14ac:dyDescent="0.35">
      <c r="B1472" s="104" t="str">
        <f>'Unit tariffs'!$B$7</f>
        <v>Administration Levy (Indirect Cost)</v>
      </c>
      <c r="C1472" s="74"/>
      <c r="D1472" s="106">
        <f>'Unit tariffs'!$C$7</f>
        <v>0.1</v>
      </c>
      <c r="E1472" s="74" t="s">
        <v>311</v>
      </c>
      <c r="F1472" s="186">
        <f>+'Unit tariffs'!$F$7</f>
        <v>10000</v>
      </c>
      <c r="G1472" s="74"/>
      <c r="H1472" s="108">
        <f>IF(H1471*$D1472&gt;='Unit tariffs'!$E$7,'Unit tariffs'!$E$7,H1471*$D1472)</f>
        <v>1732.4751930225768</v>
      </c>
      <c r="I1472" s="108">
        <f>IF(I1471*$D1472&gt;='Unit tariffs'!$E$7,'Unit tariffs'!$E$7,I1471*$D1472)</f>
        <v>1732.4751930225768</v>
      </c>
    </row>
    <row r="1473" spans="2:9" ht="13.5" thickTop="1" x14ac:dyDescent="0.3">
      <c r="B1473" s="104" t="s">
        <v>44</v>
      </c>
      <c r="C1473" s="74"/>
      <c r="D1473" s="74"/>
      <c r="E1473" s="74"/>
      <c r="F1473" s="74"/>
      <c r="G1473" s="74"/>
      <c r="H1473" s="109">
        <f>SUM(H1471:H1472)</f>
        <v>19057.227123248344</v>
      </c>
      <c r="I1473" s="109">
        <f>SUM(I1471:I1472)</f>
        <v>19057.227123248344</v>
      </c>
    </row>
    <row r="1474" spans="2:9" ht="13" x14ac:dyDescent="0.3">
      <c r="B1474" s="74"/>
      <c r="C1474" s="74"/>
      <c r="D1474" s="74"/>
      <c r="E1474" s="74"/>
      <c r="F1474" s="74"/>
      <c r="G1474" s="74"/>
      <c r="H1474" s="74"/>
      <c r="I1474" s="74"/>
    </row>
    <row r="1475" spans="2:9" ht="13" x14ac:dyDescent="0.3">
      <c r="B1475" s="104" t="s">
        <v>45</v>
      </c>
      <c r="C1475" s="74"/>
      <c r="D1475" s="74"/>
      <c r="E1475" s="74"/>
      <c r="F1475" s="74"/>
      <c r="G1475" s="74"/>
      <c r="H1475" s="84">
        <f>ROUND(H1473,-1)</f>
        <v>19060</v>
      </c>
      <c r="I1475" s="84">
        <f>ROUND(I1473,-1)</f>
        <v>19060</v>
      </c>
    </row>
    <row r="1476" spans="2:9" ht="13" x14ac:dyDescent="0.3">
      <c r="B1476" s="74"/>
      <c r="C1476" s="74"/>
      <c r="D1476" s="74"/>
      <c r="E1476" s="74"/>
      <c r="F1476" s="74"/>
      <c r="G1476" s="74"/>
      <c r="H1476" s="76"/>
      <c r="I1476" s="76"/>
    </row>
    <row r="1477" spans="2:9" ht="13" x14ac:dyDescent="0.3">
      <c r="B1477" s="74"/>
      <c r="C1477" s="74"/>
      <c r="D1477" s="74"/>
      <c r="E1477" s="74"/>
      <c r="F1477" s="74"/>
      <c r="G1477" s="74"/>
      <c r="H1477" s="76"/>
      <c r="I1477" s="76"/>
    </row>
    <row r="1478" spans="2:9" ht="13" x14ac:dyDescent="0.3">
      <c r="B1478" s="74"/>
      <c r="C1478" s="74"/>
      <c r="D1478" s="74"/>
      <c r="E1478" s="74"/>
      <c r="F1478" s="74"/>
      <c r="G1478" s="74"/>
      <c r="H1478" s="112" t="e">
        <f>(H1475-G1475)/G1475</f>
        <v>#DIV/0!</v>
      </c>
      <c r="I1478" s="112">
        <f>(I1475-H1475)/H1475</f>
        <v>0</v>
      </c>
    </row>
    <row r="1479" spans="2:9" ht="13.5" thickBot="1" x14ac:dyDescent="0.35">
      <c r="B1479" s="123"/>
      <c r="C1479" s="123"/>
      <c r="D1479" s="123"/>
      <c r="E1479" s="123"/>
      <c r="F1479" s="123"/>
      <c r="G1479" s="123"/>
      <c r="H1479" s="123"/>
      <c r="I1479" s="123"/>
    </row>
    <row r="1480" spans="2:9" ht="13.5" thickTop="1" x14ac:dyDescent="0.3">
      <c r="B1480" s="74"/>
      <c r="C1480" s="74"/>
      <c r="D1480" s="74"/>
      <c r="E1480" s="74"/>
      <c r="F1480" s="74"/>
      <c r="G1480" s="74"/>
      <c r="H1480" s="74"/>
      <c r="I1480" s="74"/>
    </row>
    <row r="1481" spans="2:9" ht="13" x14ac:dyDescent="0.3">
      <c r="B1481" s="74" t="s">
        <v>1</v>
      </c>
      <c r="C1481" s="74"/>
      <c r="D1481" s="74"/>
      <c r="E1481" s="74"/>
      <c r="F1481" s="74"/>
      <c r="G1481" s="74"/>
      <c r="H1481" s="100"/>
      <c r="I1481" s="100"/>
    </row>
    <row r="1482" spans="2:9" ht="24.5" customHeight="1" x14ac:dyDescent="0.3">
      <c r="B1482" s="931" t="s">
        <v>730</v>
      </c>
      <c r="C1482" s="932"/>
      <c r="D1482" s="932"/>
      <c r="E1482" s="932"/>
      <c r="F1482" s="932"/>
      <c r="G1482" s="933"/>
      <c r="H1482" s="810" t="s">
        <v>668</v>
      </c>
      <c r="I1482" s="810" t="s">
        <v>668</v>
      </c>
    </row>
    <row r="1483" spans="2:9" ht="13" x14ac:dyDescent="0.3">
      <c r="B1483" s="74" t="s">
        <v>1</v>
      </c>
      <c r="C1483" s="74"/>
      <c r="D1483" s="74"/>
      <c r="E1483" s="74"/>
      <c r="F1483" s="74"/>
      <c r="G1483" s="74"/>
      <c r="H1483" s="74"/>
      <c r="I1483" s="74"/>
    </row>
    <row r="1484" spans="2:9" ht="13" x14ac:dyDescent="0.3">
      <c r="B1484" s="74" t="s">
        <v>1</v>
      </c>
      <c r="C1484" s="74"/>
      <c r="D1484" s="74"/>
      <c r="E1484" s="74"/>
      <c r="F1484" s="74"/>
      <c r="G1484" s="74"/>
      <c r="H1484" s="103" t="str">
        <f>+'Unit tariffs'!$F$11</f>
        <v>2026/2027</v>
      </c>
      <c r="I1484" s="103" t="str">
        <f>+'Unit tariffs'!$F$11</f>
        <v>2026/2027</v>
      </c>
    </row>
    <row r="1485" spans="2:9" ht="13" x14ac:dyDescent="0.3">
      <c r="B1485" s="104" t="s">
        <v>117</v>
      </c>
      <c r="C1485" s="74"/>
      <c r="D1485" s="74"/>
      <c r="E1485" s="74"/>
      <c r="F1485" s="74"/>
      <c r="G1485" s="74"/>
      <c r="H1485" s="127"/>
      <c r="I1485" s="127"/>
    </row>
    <row r="1486" spans="2:9" ht="13" x14ac:dyDescent="0.3">
      <c r="B1486" s="74" t="s">
        <v>118</v>
      </c>
      <c r="C1486" s="74"/>
      <c r="D1486" s="74"/>
      <c r="E1486" s="74"/>
      <c r="F1486" s="74"/>
      <c r="G1486" s="74"/>
      <c r="H1486" s="127"/>
      <c r="I1486" s="127"/>
    </row>
    <row r="1487" spans="2:9" ht="13" x14ac:dyDescent="0.3">
      <c r="B1487" s="74">
        <v>2.5</v>
      </c>
      <c r="C1487" s="74" t="str">
        <f>'Unit tariffs'!B$138</f>
        <v>Secondary Backbone - MV Peri Urban</v>
      </c>
      <c r="D1487" s="74"/>
      <c r="E1487" s="74"/>
      <c r="F1487" s="74" t="str">
        <f>'Unit tariffs'!C$132</f>
        <v>per kVA</v>
      </c>
      <c r="G1487" s="74"/>
      <c r="H1487" s="76">
        <f>VLOOKUP($C1487,'Unit tariffs'!$B$21:$F$158,5,FALSE)*$B1487</f>
        <v>3020.01571400375</v>
      </c>
      <c r="I1487" s="76">
        <f>VLOOKUP($C1487,'Unit tariffs'!$B$21:$F$158,5,FALSE)*$B1487</f>
        <v>3020.01571400375</v>
      </c>
    </row>
    <row r="1488" spans="2:9" ht="13" x14ac:dyDescent="0.3">
      <c r="B1488" s="74">
        <v>2.5</v>
      </c>
      <c r="C1488" s="74" t="str">
        <f>'Unit tariffs'!B$139</f>
        <v>Secondary Backbone - LV Peri Urban</v>
      </c>
      <c r="D1488" s="74"/>
      <c r="E1488" s="74"/>
      <c r="F1488" s="74" t="str">
        <f>'Unit tariffs'!C$133</f>
        <v>per kVA</v>
      </c>
      <c r="G1488" s="74"/>
      <c r="H1488" s="81">
        <f>VLOOKUP($C1488,'Unit tariffs'!$B$21:$F$158,5,FALSE)*$B1488</f>
        <v>4954.2545147480005</v>
      </c>
      <c r="I1488" s="81">
        <f>VLOOKUP($C1488,'Unit tariffs'!$B$21:$F$158,5,FALSE)*$B1488</f>
        <v>4954.2545147480005</v>
      </c>
    </row>
    <row r="1489" spans="2:9" ht="13" x14ac:dyDescent="0.3">
      <c r="G1489" s="74"/>
      <c r="H1489" s="76">
        <f>SUM(H1487:H1488)</f>
        <v>7974.2702287517504</v>
      </c>
      <c r="I1489" s="76">
        <f>SUM(I1487:I1488)</f>
        <v>7974.2702287517504</v>
      </c>
    </row>
    <row r="1490" spans="2:9" ht="13" x14ac:dyDescent="0.3">
      <c r="B1490" s="74"/>
      <c r="C1490" s="74"/>
      <c r="D1490" s="74"/>
      <c r="E1490" s="74"/>
      <c r="F1490" s="74"/>
      <c r="G1490" s="74"/>
      <c r="H1490" s="76"/>
      <c r="I1490" s="76"/>
    </row>
    <row r="1491" spans="2:9" ht="13" x14ac:dyDescent="0.3">
      <c r="B1491" s="104" t="s">
        <v>41</v>
      </c>
      <c r="C1491" s="74"/>
      <c r="D1491" s="74"/>
      <c r="E1491" s="74"/>
      <c r="F1491" s="74"/>
      <c r="G1491" s="74"/>
      <c r="H1491" s="74"/>
      <c r="I1491" s="74"/>
    </row>
    <row r="1492" spans="2:9" ht="13" x14ac:dyDescent="0.3">
      <c r="B1492" s="74"/>
      <c r="C1492" s="74"/>
      <c r="D1492" s="74"/>
      <c r="E1492" s="74"/>
      <c r="F1492" s="74"/>
      <c r="G1492" s="74"/>
      <c r="H1492" s="74"/>
      <c r="I1492" s="74"/>
    </row>
    <row r="1493" spans="2:9" ht="13" x14ac:dyDescent="0.3">
      <c r="B1493" s="74">
        <v>1</v>
      </c>
      <c r="C1493" s="347" t="str">
        <f>'Unit tariffs'!B46</f>
        <v>METER: TIME OF USE 100 AMP</v>
      </c>
      <c r="D1493" s="74"/>
      <c r="E1493" s="74"/>
      <c r="F1493" s="74"/>
      <c r="G1493" s="74"/>
      <c r="H1493" s="189">
        <f>VLOOKUP($C1493,'Unit tariffs'!$B$21:$F$123,5,FALSE)*$B1493</f>
        <v>0</v>
      </c>
      <c r="I1493" s="189">
        <f>VLOOKUP($C1493,'Unit tariffs'!$B$21:$F$123,5,FALSE)*$B1493</f>
        <v>0</v>
      </c>
    </row>
    <row r="1494" spans="2:9" ht="13" x14ac:dyDescent="0.3">
      <c r="B1494" s="74">
        <v>3</v>
      </c>
      <c r="C1494" s="74" t="str">
        <f>'Unit tariffs'!B43</f>
        <v>x 80 A circuit breaker (5kA) - Orange</v>
      </c>
      <c r="D1494" s="74"/>
      <c r="E1494" s="74"/>
      <c r="F1494" s="74"/>
      <c r="G1494" s="74"/>
      <c r="H1494" s="76">
        <f>VLOOKUP($C1494,'Unit tariffs'!$B$21:$F$123,5,FALSE)*$B1494</f>
        <v>0</v>
      </c>
      <c r="I1494" s="76">
        <f>VLOOKUP($C1494,'Unit tariffs'!$B$21:$F$123,5,FALSE)*$B1494</f>
        <v>0</v>
      </c>
    </row>
    <row r="1495" spans="2:9" ht="13" x14ac:dyDescent="0.3">
      <c r="B1495" s="74">
        <v>1</v>
      </c>
      <c r="C1495" s="74" t="str">
        <f>'Unit tariffs'!B21</f>
        <v>Installation material</v>
      </c>
      <c r="D1495" s="74"/>
      <c r="E1495" s="74"/>
      <c r="F1495" s="74"/>
      <c r="G1495" s="74"/>
      <c r="H1495" s="81">
        <f>VLOOKUP($C1495,'Unit tariffs'!$B$21:$F$123,5,FALSE)*$B1495</f>
        <v>282.48325</v>
      </c>
      <c r="I1495" s="81">
        <f>VLOOKUP($C1495,'Unit tariffs'!$B$21:$F$123,5,FALSE)*$B1495</f>
        <v>282.48325</v>
      </c>
    </row>
    <row r="1496" spans="2:9" ht="13" x14ac:dyDescent="0.3">
      <c r="B1496" s="74"/>
      <c r="C1496" s="74"/>
      <c r="D1496" s="74"/>
      <c r="E1496" s="74"/>
      <c r="F1496" s="74"/>
      <c r="G1496" s="74"/>
      <c r="H1496" s="76">
        <f>SUM(H1493:H1495)</f>
        <v>282.48325</v>
      </c>
      <c r="I1496" s="76">
        <f>SUM(I1493:I1495)</f>
        <v>282.48325</v>
      </c>
    </row>
    <row r="1497" spans="2:9" ht="13" x14ac:dyDescent="0.3">
      <c r="B1497" s="104" t="s">
        <v>42</v>
      </c>
      <c r="C1497" s="74"/>
      <c r="D1497" s="74"/>
      <c r="E1497" s="74"/>
      <c r="F1497" s="74"/>
      <c r="G1497" s="74"/>
      <c r="H1497" s="74"/>
      <c r="I1497" s="74"/>
    </row>
    <row r="1498" spans="2:9" ht="13" x14ac:dyDescent="0.3">
      <c r="B1498" s="74"/>
      <c r="C1498" s="74"/>
      <c r="D1498" s="74"/>
      <c r="E1498" s="74"/>
      <c r="F1498" s="74"/>
      <c r="G1498" s="74"/>
      <c r="H1498" s="74"/>
      <c r="I1498" s="74"/>
    </row>
    <row r="1499" spans="2:9" ht="13" x14ac:dyDescent="0.3">
      <c r="B1499" s="74">
        <v>1</v>
      </c>
      <c r="C1499" s="74" t="str">
        <f>'Unit tariffs'!B$87</f>
        <v xml:space="preserve">hour-artisan </v>
      </c>
      <c r="D1499" s="74"/>
      <c r="E1499" s="74"/>
      <c r="F1499" s="74"/>
      <c r="G1499" s="74"/>
      <c r="H1499" s="76">
        <f>VLOOKUP($C1499,'Unit tariffs'!$B$21:$F$123,5,FALSE)*$B1499</f>
        <v>351.19276615384621</v>
      </c>
      <c r="I1499" s="76">
        <f>VLOOKUP($C1499,'Unit tariffs'!$B$21:$F$123,5,FALSE)*$B1499</f>
        <v>351.19276615384621</v>
      </c>
    </row>
    <row r="1500" spans="2:9" ht="13" x14ac:dyDescent="0.3">
      <c r="B1500" s="74">
        <v>1</v>
      </c>
      <c r="C1500" s="74" t="str">
        <f>'Unit tariffs'!B$85</f>
        <v>hour-artisan assistant</v>
      </c>
      <c r="D1500" s="74"/>
      <c r="E1500" s="74"/>
      <c r="F1500" s="74"/>
      <c r="G1500" s="74"/>
      <c r="H1500" s="81">
        <f>VLOOKUP($C1500,'Unit tariffs'!$B$21:$F$123,5,FALSE)*$B1500</f>
        <v>139.82425846153848</v>
      </c>
      <c r="I1500" s="81">
        <f>VLOOKUP($C1500,'Unit tariffs'!$B$21:$F$123,5,FALSE)*$B1500</f>
        <v>139.82425846153848</v>
      </c>
    </row>
    <row r="1501" spans="2:9" ht="13" x14ac:dyDescent="0.3">
      <c r="B1501" s="74"/>
      <c r="C1501" s="74"/>
      <c r="D1501" s="74"/>
      <c r="E1501" s="74"/>
      <c r="F1501" s="74"/>
      <c r="G1501" s="74"/>
      <c r="H1501" s="76">
        <f>SUM(H1499:H1500)</f>
        <v>491.01702461538468</v>
      </c>
      <c r="I1501" s="76">
        <f>SUM(I1499:I1500)</f>
        <v>491.01702461538468</v>
      </c>
    </row>
    <row r="1502" spans="2:9" ht="13" x14ac:dyDescent="0.3">
      <c r="B1502" s="104" t="s">
        <v>43</v>
      </c>
      <c r="C1502" s="74"/>
      <c r="D1502" s="74"/>
      <c r="E1502" s="74"/>
      <c r="F1502" s="74"/>
      <c r="G1502" s="74"/>
      <c r="H1502" s="74"/>
      <c r="I1502" s="74"/>
    </row>
    <row r="1503" spans="2:9" ht="13" x14ac:dyDescent="0.3">
      <c r="B1503" s="74"/>
      <c r="C1503" s="74"/>
      <c r="D1503" s="74"/>
      <c r="E1503" s="74"/>
      <c r="F1503" s="74"/>
      <c r="G1503" s="74"/>
      <c r="H1503" s="74"/>
      <c r="I1503" s="74"/>
    </row>
    <row r="1504" spans="2:9" ht="13" x14ac:dyDescent="0.3">
      <c r="B1504" s="74">
        <v>24</v>
      </c>
      <c r="C1504" s="74" t="str">
        <f>'Unit tariffs'!B$111</f>
        <v>km-truck with platform</v>
      </c>
      <c r="D1504" s="74"/>
      <c r="E1504" s="74"/>
      <c r="F1504" s="74"/>
      <c r="G1504" s="74"/>
      <c r="H1504" s="76">
        <f>VLOOKUP($C1504,'Unit tariffs'!$B$21:$F$123,5,FALSE)*$B1504</f>
        <v>1182.7997218118533</v>
      </c>
      <c r="I1504" s="76">
        <f>VLOOKUP($C1504,'Unit tariffs'!$B$21:$F$123,5,FALSE)*$B1504</f>
        <v>1182.7997218118533</v>
      </c>
    </row>
    <row r="1505" spans="2:9" ht="13" x14ac:dyDescent="0.3">
      <c r="B1505" s="74">
        <v>1</v>
      </c>
      <c r="C1505" s="74" t="str">
        <f>'Unit tariffs'!B$112</f>
        <v>hour-truck with platform</v>
      </c>
      <c r="D1505" s="74"/>
      <c r="E1505" s="74"/>
      <c r="F1505" s="74"/>
      <c r="G1505" s="74"/>
      <c r="H1505" s="76">
        <f>VLOOKUP($C1505,'Unit tariffs'!$B$21:$F$123,5,FALSE)*$B1505</f>
        <v>239.8431204962792</v>
      </c>
      <c r="I1505" s="76">
        <f>VLOOKUP($C1505,'Unit tariffs'!$B$21:$F$123,5,FALSE)*$B1505</f>
        <v>239.8431204962792</v>
      </c>
    </row>
    <row r="1506" spans="2:9" ht="13" x14ac:dyDescent="0.3">
      <c r="B1506" s="74"/>
      <c r="C1506" s="74"/>
      <c r="D1506" s="74"/>
      <c r="E1506" s="74"/>
      <c r="F1506" s="74"/>
      <c r="G1506" s="74"/>
      <c r="H1506" s="137">
        <f>SUM(H1504:H1505)</f>
        <v>1422.6428423081325</v>
      </c>
      <c r="I1506" s="137">
        <f>SUM(I1504:I1505)</f>
        <v>1422.6428423081325</v>
      </c>
    </row>
    <row r="1508" spans="2:9" ht="13" x14ac:dyDescent="0.3">
      <c r="B1508" s="74"/>
      <c r="C1508" s="74"/>
      <c r="D1508" s="74"/>
      <c r="E1508" s="74"/>
      <c r="F1508" s="74"/>
      <c r="G1508" s="74"/>
      <c r="H1508" s="76">
        <f>+H1506+H1501+H1496+H1489</f>
        <v>10170.413345675268</v>
      </c>
      <c r="I1508" s="76">
        <f>+I1506+I1501+I1496+I1489</f>
        <v>10170.413345675268</v>
      </c>
    </row>
    <row r="1509" spans="2:9" ht="13.5" thickBot="1" x14ac:dyDescent="0.35">
      <c r="B1509" s="104" t="str">
        <f>'Unit tariffs'!$B$7</f>
        <v>Administration Levy (Indirect Cost)</v>
      </c>
      <c r="C1509" s="74"/>
      <c r="D1509" s="106">
        <f>'Unit tariffs'!$C$7</f>
        <v>0.1</v>
      </c>
      <c r="E1509" s="74" t="s">
        <v>311</v>
      </c>
      <c r="F1509" s="186">
        <f>+'Unit tariffs'!$F$7</f>
        <v>10000</v>
      </c>
      <c r="G1509" s="74"/>
      <c r="H1509" s="108">
        <f>IF(H1508*$D1509&gt;='Unit tariffs'!$E$7,'Unit tariffs'!$E$7,H1508*$D1509)</f>
        <v>1017.0413345675269</v>
      </c>
      <c r="I1509" s="108">
        <f>IF(I1508*$D1509&gt;='Unit tariffs'!$E$7,'Unit tariffs'!$E$7,I1508*$D1509)</f>
        <v>1017.0413345675269</v>
      </c>
    </row>
    <row r="1510" spans="2:9" ht="13.5" thickTop="1" x14ac:dyDescent="0.3">
      <c r="B1510" s="104" t="s">
        <v>44</v>
      </c>
      <c r="C1510" s="74"/>
      <c r="D1510" s="74"/>
      <c r="E1510" s="74"/>
      <c r="F1510" s="74"/>
      <c r="G1510" s="74"/>
      <c r="H1510" s="109">
        <f>SUM(H1508:H1509)</f>
        <v>11187.454680242794</v>
      </c>
      <c r="I1510" s="109">
        <f>SUM(I1508:I1509)</f>
        <v>11187.454680242794</v>
      </c>
    </row>
    <row r="1511" spans="2:9" ht="13" x14ac:dyDescent="0.3">
      <c r="B1511" s="74"/>
      <c r="C1511" s="74"/>
      <c r="D1511" s="74"/>
      <c r="E1511" s="74"/>
      <c r="F1511" s="74"/>
      <c r="G1511" s="74"/>
      <c r="H1511" s="74"/>
      <c r="I1511" s="74"/>
    </row>
    <row r="1512" spans="2:9" ht="13" x14ac:dyDescent="0.3">
      <c r="B1512" s="104" t="s">
        <v>45</v>
      </c>
      <c r="C1512" s="74"/>
      <c r="D1512" s="74"/>
      <c r="E1512" s="74"/>
      <c r="F1512" s="74"/>
      <c r="G1512" s="74"/>
      <c r="H1512" s="84">
        <f>ROUND(H1510,-1)</f>
        <v>11190</v>
      </c>
      <c r="I1512" s="84">
        <f>ROUND(I1510,-1)</f>
        <v>11190</v>
      </c>
    </row>
    <row r="1513" spans="2:9" ht="13" x14ac:dyDescent="0.3">
      <c r="B1513" s="104"/>
      <c r="C1513" s="74"/>
      <c r="D1513" s="74"/>
      <c r="E1513" s="74"/>
      <c r="F1513" s="74"/>
      <c r="G1513" s="74"/>
      <c r="H1513" s="84"/>
      <c r="I1513" s="84"/>
    </row>
    <row r="1514" spans="2:9" ht="13" x14ac:dyDescent="0.3">
      <c r="B1514" s="104"/>
      <c r="C1514" s="74"/>
      <c r="D1514" s="74"/>
      <c r="E1514" s="74"/>
      <c r="F1514" s="74"/>
      <c r="G1514" s="74"/>
      <c r="H1514" s="84"/>
      <c r="I1514" s="84"/>
    </row>
    <row r="1515" spans="2:9" ht="13" x14ac:dyDescent="0.3">
      <c r="B1515" s="104"/>
      <c r="C1515" s="74"/>
      <c r="D1515" s="74"/>
      <c r="E1515" s="74"/>
      <c r="F1515" s="74"/>
      <c r="G1515" s="74"/>
      <c r="H1515" s="112" t="e">
        <f>(H1512-G1512)/G1512</f>
        <v>#DIV/0!</v>
      </c>
      <c r="I1515" s="112">
        <f>(I1512-H1512)/H1512</f>
        <v>0</v>
      </c>
    </row>
    <row r="1516" spans="2:9" ht="13.5" thickBot="1" x14ac:dyDescent="0.35">
      <c r="B1516" s="796"/>
      <c r="C1516" s="123"/>
      <c r="D1516" s="123"/>
      <c r="E1516" s="123"/>
      <c r="F1516" s="123"/>
      <c r="G1516" s="123"/>
      <c r="H1516" s="797"/>
      <c r="I1516" s="797"/>
    </row>
    <row r="1517" spans="2:9" ht="13" thickTop="1" x14ac:dyDescent="0.25"/>
  </sheetData>
  <mergeCells count="32">
    <mergeCell ref="B1408:G1408"/>
    <mergeCell ref="B1440:G1440"/>
    <mergeCell ref="B1482:G1482"/>
    <mergeCell ref="B1217:G1217"/>
    <mergeCell ref="B1259:G1259"/>
    <mergeCell ref="B1293:G1293"/>
    <mergeCell ref="B1333:G1333"/>
    <mergeCell ref="B1368:G1368"/>
    <mergeCell ref="B1039:G1039"/>
    <mergeCell ref="B1072:G1072"/>
    <mergeCell ref="B1110:G1110"/>
    <mergeCell ref="B1145:G1145"/>
    <mergeCell ref="B1185:G1185"/>
    <mergeCell ref="B853:G853"/>
    <mergeCell ref="B894:G894"/>
    <mergeCell ref="B926:G926"/>
    <mergeCell ref="B968:G968"/>
    <mergeCell ref="B1005:G1005"/>
    <mergeCell ref="B549:G549"/>
    <mergeCell ref="B700:G700"/>
    <mergeCell ref="B742:G742"/>
    <mergeCell ref="B776:G776"/>
    <mergeCell ref="B817:G817"/>
    <mergeCell ref="H85:H86"/>
    <mergeCell ref="I85:I86"/>
    <mergeCell ref="C121:G121"/>
    <mergeCell ref="B157:G157"/>
    <mergeCell ref="H7:H8"/>
    <mergeCell ref="I7:I8"/>
    <mergeCell ref="H45:H46"/>
    <mergeCell ref="I45:I46"/>
    <mergeCell ref="B42:E42"/>
  </mergeCells>
  <pageMargins left="0.7" right="0.7" top="0.75" bottom="0.75" header="0.3" footer="0.3"/>
  <pageSetup paperSize="8" scale="88" fitToHeight="0" orientation="portrait" r:id="rId1"/>
  <headerFooter>
    <oddHeader xml:space="preserve">&amp;CCENTLEC Service Tariff - Calculation Sheets 2023/2024
</oddHeader>
    <oddFooter>Page &amp;P</oddFooter>
  </headerFooter>
  <rowBreaks count="15" manualBreakCount="15">
    <brk id="83" max="12" man="1"/>
    <brk id="153" max="12" man="1"/>
    <brk id="219" max="12" man="1"/>
    <brk id="371" max="12" man="1"/>
    <brk id="441" max="12" man="1"/>
    <brk id="480" max="12" man="1"/>
    <brk id="540" max="12" man="1"/>
    <brk id="622" max="12" man="1"/>
    <brk id="698" max="12" man="1"/>
    <brk id="774" max="12" man="1"/>
    <brk id="815" max="12" man="1"/>
    <brk id="892" max="12" man="1"/>
    <brk id="965" max="12" man="1"/>
    <brk id="1036" max="12" man="1"/>
    <brk id="1410" max="11" man="1"/>
  </rowBreaks>
  <colBreaks count="1" manualBreakCount="1">
    <brk id="11" max="1438"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D11B0-BB42-42F4-9D62-966DE4140F39}">
  <sheetPr>
    <pageSetUpPr fitToPage="1"/>
  </sheetPr>
  <dimension ref="A1:Q1384"/>
  <sheetViews>
    <sheetView view="pageBreakPreview" topLeftCell="A172" zoomScale="74" zoomScaleNormal="70" zoomScaleSheetLayoutView="74" workbookViewId="0">
      <selection activeCell="B156" sqref="B156"/>
    </sheetView>
  </sheetViews>
  <sheetFormatPr defaultColWidth="9" defaultRowHeight="12.5" x14ac:dyDescent="0.25"/>
  <cols>
    <col min="1" max="1" width="8" style="86" customWidth="1"/>
    <col min="2" max="2" width="11.36328125" style="86" customWidth="1"/>
    <col min="3" max="3" width="40.08984375" style="86" bestFit="1" customWidth="1"/>
    <col min="4" max="4" width="14.54296875" style="86" customWidth="1"/>
    <col min="5" max="5" width="9" style="86"/>
    <col min="6" max="6" width="12.90625" style="86" customWidth="1"/>
    <col min="7" max="7" width="20.54296875" style="86" customWidth="1"/>
    <col min="8" max="9" width="20.6328125" style="86" customWidth="1"/>
    <col min="10" max="10" width="10.6328125" style="86" hidden="1" customWidth="1"/>
    <col min="11" max="11" width="11.54296875" style="86" bestFit="1" customWidth="1"/>
    <col min="12" max="12" width="9.54296875" style="86" bestFit="1" customWidth="1"/>
    <col min="13" max="18" width="9" style="86"/>
    <col min="19" max="19" width="9.36328125" style="86" bestFit="1" customWidth="1"/>
    <col min="20" max="20" width="11.81640625" style="86" bestFit="1" customWidth="1"/>
    <col min="21" max="16384" width="9" style="86"/>
  </cols>
  <sheetData>
    <row r="1" spans="1:12" ht="13" x14ac:dyDescent="0.3">
      <c r="A1" s="91"/>
      <c r="B1" s="74" t="s">
        <v>1</v>
      </c>
      <c r="C1" s="74"/>
      <c r="D1" s="74"/>
      <c r="E1" s="74"/>
      <c r="F1" s="74"/>
      <c r="G1" s="74"/>
      <c r="H1" s="74"/>
      <c r="I1" s="74"/>
      <c r="J1" s="95"/>
    </row>
    <row r="2" spans="1:12" ht="20.25" customHeight="1" x14ac:dyDescent="0.3">
      <c r="A2" s="91"/>
      <c r="B2" s="92" t="s">
        <v>676</v>
      </c>
      <c r="C2" s="824"/>
      <c r="D2" s="824"/>
      <c r="E2" s="824"/>
      <c r="F2" s="824"/>
      <c r="G2" s="825"/>
      <c r="H2" s="74"/>
      <c r="I2" s="74"/>
      <c r="J2" s="95"/>
    </row>
    <row r="3" spans="1:12" ht="21.75" customHeight="1" x14ac:dyDescent="0.3">
      <c r="A3" s="91"/>
      <c r="B3" s="74"/>
      <c r="C3" s="74"/>
      <c r="D3" s="74"/>
      <c r="E3" s="74"/>
      <c r="F3" s="74"/>
      <c r="G3" s="74"/>
      <c r="H3" s="74"/>
      <c r="I3" s="74"/>
      <c r="J3" s="95"/>
    </row>
    <row r="4" spans="1:12" ht="49.5" customHeight="1" x14ac:dyDescent="0.3">
      <c r="A4" s="91"/>
      <c r="B4" s="828" t="s">
        <v>677</v>
      </c>
      <c r="C4" s="831"/>
      <c r="D4" s="831"/>
      <c r="E4" s="831"/>
      <c r="F4" s="831"/>
      <c r="G4" s="832"/>
      <c r="H4" s="74"/>
      <c r="I4" s="74"/>
      <c r="J4" s="95"/>
    </row>
    <row r="5" spans="1:12" ht="12.75" customHeight="1" x14ac:dyDescent="0.3">
      <c r="A5" s="91"/>
      <c r="B5" s="74"/>
      <c r="C5" s="74"/>
      <c r="D5" s="74"/>
      <c r="E5" s="74"/>
      <c r="F5" s="74"/>
      <c r="G5" s="74"/>
      <c r="H5" s="74"/>
      <c r="I5" s="74"/>
      <c r="J5" s="95"/>
    </row>
    <row r="6" spans="1:12" ht="13" x14ac:dyDescent="0.3">
      <c r="A6" s="91"/>
      <c r="B6" s="74"/>
      <c r="C6" s="74"/>
      <c r="D6" s="74"/>
      <c r="E6" s="74"/>
      <c r="F6" s="74"/>
      <c r="G6" s="74"/>
      <c r="H6" s="103" t="str">
        <f>+'Unit tariffs'!$E$11</f>
        <v>2025/2026</v>
      </c>
      <c r="I6" s="103" t="str">
        <f>+'Unit tariffs'!$F$11</f>
        <v>2026/2027</v>
      </c>
      <c r="J6" s="444" t="s">
        <v>313</v>
      </c>
      <c r="L6" s="146"/>
    </row>
    <row r="7" spans="1:12" ht="13" x14ac:dyDescent="0.3">
      <c r="A7" s="91"/>
      <c r="B7" s="104" t="s">
        <v>316</v>
      </c>
      <c r="C7" s="74"/>
      <c r="D7" s="74"/>
      <c r="E7" s="74"/>
      <c r="F7" s="74"/>
      <c r="G7" s="74"/>
      <c r="H7" s="74"/>
      <c r="I7" s="74"/>
      <c r="J7" s="95"/>
    </row>
    <row r="8" spans="1:12" ht="13" x14ac:dyDescent="0.3">
      <c r="A8" s="91"/>
      <c r="B8" s="74"/>
      <c r="C8" s="74"/>
      <c r="D8" s="74"/>
      <c r="E8" s="74"/>
      <c r="F8" s="74"/>
      <c r="G8" s="74"/>
      <c r="H8" s="74"/>
      <c r="I8" s="74"/>
      <c r="J8" s="95"/>
    </row>
    <row r="9" spans="1:12" ht="13" x14ac:dyDescent="0.3">
      <c r="A9" s="91"/>
      <c r="B9" s="74">
        <v>0.5</v>
      </c>
      <c r="C9" s="74" t="s">
        <v>9</v>
      </c>
      <c r="D9" s="74"/>
      <c r="E9" s="74"/>
      <c r="F9" s="74"/>
      <c r="G9" s="74"/>
      <c r="H9" s="76">
        <v>2023.5068128695139</v>
      </c>
      <c r="I9" s="76">
        <f>VLOOKUP($C9,'Unit tariffs'!$B$21:$F$123,5,FALSE)*$B9</f>
        <v>3586.2943486999998</v>
      </c>
      <c r="J9" s="457" t="e">
        <f>IF(+I9*'Unit tariffs'!#REF!&gt;'Unit tariffs'!#REF!,'Unit tariffs'!#REF!,+I9*'Unit tariffs'!#REF!)</f>
        <v>#REF!</v>
      </c>
    </row>
    <row r="10" spans="1:12" ht="13" x14ac:dyDescent="0.3">
      <c r="A10" s="91"/>
      <c r="B10" s="74">
        <v>1</v>
      </c>
      <c r="C10" s="74" t="s">
        <v>229</v>
      </c>
      <c r="D10" s="74"/>
      <c r="E10" s="74"/>
      <c r="F10" s="74"/>
      <c r="G10" s="74"/>
      <c r="H10" s="76">
        <v>7323.5537155157153</v>
      </c>
      <c r="I10" s="76">
        <f>VLOOKUP($C10,'Unit tariffs'!$B$21:$F$123,5,FALSE)*$B10</f>
        <v>0</v>
      </c>
      <c r="J10" s="457" t="e">
        <f>IF(+I10*'Unit tariffs'!#REF!&gt;'Unit tariffs'!#REF!,'Unit tariffs'!#REF!,+I10*'Unit tariffs'!#REF!)</f>
        <v>#REF!</v>
      </c>
    </row>
    <row r="11" spans="1:12" ht="13" x14ac:dyDescent="0.3">
      <c r="A11" s="91"/>
      <c r="B11" s="74">
        <v>0.5</v>
      </c>
      <c r="C11" s="74" t="s">
        <v>99</v>
      </c>
      <c r="D11" s="74"/>
      <c r="E11" s="74"/>
      <c r="F11" s="74"/>
      <c r="G11" s="74"/>
      <c r="H11" s="76">
        <v>97.902276374162</v>
      </c>
      <c r="I11" s="76">
        <f>VLOOKUP($C11,'Unit tariffs'!$B$21:$F$123,5,FALSE)*$B11</f>
        <v>0</v>
      </c>
      <c r="J11" s="457" t="e">
        <f>IF(+I11*'Unit tariffs'!#REF!&gt;'Unit tariffs'!#REF!,'Unit tariffs'!#REF!,+I11*'Unit tariffs'!#REF!)</f>
        <v>#REF!</v>
      </c>
    </row>
    <row r="12" spans="1:12" ht="13" x14ac:dyDescent="0.3">
      <c r="A12" s="91"/>
      <c r="B12" s="74">
        <v>16</v>
      </c>
      <c r="C12" s="74" t="str">
        <f>'Unit tariffs'!B56</f>
        <v>m 16 mm x 4 Cu cable</v>
      </c>
      <c r="D12" s="74"/>
      <c r="E12" s="74"/>
      <c r="F12" s="74"/>
      <c r="G12" s="74"/>
      <c r="H12" s="76">
        <v>1414.8923181941375</v>
      </c>
      <c r="I12" s="76">
        <f>VLOOKUP($C12,'Unit tariffs'!$B$21:$F$123,5,FALSE)*$B12</f>
        <v>6638.5823615999989</v>
      </c>
      <c r="J12" s="457" t="e">
        <f>IF(+I12*'Unit tariffs'!#REF!&gt;'Unit tariffs'!#REF!,'Unit tariffs'!#REF!,+I12*'Unit tariffs'!#REF!)</f>
        <v>#REF!</v>
      </c>
      <c r="K12" s="645"/>
    </row>
    <row r="13" spans="1:12" ht="13" x14ac:dyDescent="0.3">
      <c r="A13" s="91"/>
      <c r="B13" s="74">
        <v>8</v>
      </c>
      <c r="C13" s="74" t="str">
        <f>'Unit tariffs'!B52</f>
        <v>Bandit buckle - 19mm (per pkt of 100)</v>
      </c>
      <c r="D13" s="74"/>
      <c r="E13" s="74"/>
      <c r="F13" s="74"/>
      <c r="G13" s="74"/>
      <c r="H13" s="76">
        <v>27.806563703904001</v>
      </c>
      <c r="I13" s="76">
        <f>VLOOKUP($C13,'Unit tariffs'!$B$21:$F$123,5,FALSE)*$B13</f>
        <v>2530.9595253599996</v>
      </c>
      <c r="J13" s="457" t="e">
        <f>IF(+I13*'Unit tariffs'!#REF!&gt;'Unit tariffs'!#REF!,'Unit tariffs'!#REF!,+I13*'Unit tariffs'!#REF!)</f>
        <v>#REF!</v>
      </c>
      <c r="K13" s="645"/>
    </row>
    <row r="14" spans="1:12" ht="13" x14ac:dyDescent="0.3">
      <c r="A14" s="91"/>
      <c r="B14" s="74">
        <v>3</v>
      </c>
      <c r="C14" s="74" t="str">
        <f>'Unit tariffs'!B53</f>
        <v>Bandit strap per metre  - 19mm (price per rol of 30m)</v>
      </c>
      <c r="D14" s="74"/>
      <c r="E14" s="74"/>
      <c r="F14" s="74"/>
      <c r="G14" s="74"/>
      <c r="H14" s="76">
        <v>912.00918708000017</v>
      </c>
      <c r="I14" s="76">
        <f>VLOOKUP($C14,'Unit tariffs'!$B$21:$F$123,5,FALSE)*$B14</f>
        <v>106.27019865</v>
      </c>
      <c r="J14" s="457" t="e">
        <f>IF(+I14*'Unit tariffs'!#REF!&gt;'Unit tariffs'!#REF!,'Unit tariffs'!#REF!,+I14*'Unit tariffs'!#REF!)</f>
        <v>#REF!</v>
      </c>
      <c r="K14" s="645"/>
    </row>
    <row r="15" spans="1:12" ht="13" x14ac:dyDescent="0.3">
      <c r="A15" s="91"/>
      <c r="B15" s="74">
        <v>1</v>
      </c>
      <c r="C15" s="74" t="str">
        <f>'Unit tariffs'!B21</f>
        <v>Installation material</v>
      </c>
      <c r="D15" s="74"/>
      <c r="E15" s="74"/>
      <c r="F15" s="74"/>
      <c r="G15" s="74"/>
      <c r="H15" s="76">
        <v>271.44100000000003</v>
      </c>
      <c r="I15" s="76">
        <f>VLOOKUP($C15,'Unit tariffs'!$B$21:$F$123,5,FALSE)*$B15</f>
        <v>282.48325</v>
      </c>
      <c r="J15" s="457" t="e">
        <f>IF(+I15*'Unit tariffs'!#REF!&gt;'Unit tariffs'!#REF!,'Unit tariffs'!#REF!,+I15*'Unit tariffs'!#REF!)</f>
        <v>#REF!</v>
      </c>
      <c r="K15" s="645"/>
    </row>
    <row r="16" spans="1:12" ht="13" x14ac:dyDescent="0.3">
      <c r="A16" s="91"/>
      <c r="B16" s="74">
        <v>2</v>
      </c>
      <c r="C16" s="74" t="str">
        <f>'Unit tariffs'!B51</f>
        <v>Gland (Pratley No2)</v>
      </c>
      <c r="D16" s="74"/>
      <c r="E16" s="74"/>
      <c r="F16" s="74"/>
      <c r="G16" s="74"/>
      <c r="H16" s="81">
        <v>377.84587199999999</v>
      </c>
      <c r="I16" s="81">
        <f>VLOOKUP($C16,'Unit tariffs'!$B$21:$F$123,5,FALSE)*$B16</f>
        <v>0</v>
      </c>
      <c r="J16" s="457" t="e">
        <f>IF(+I16*'Unit tariffs'!#REF!&gt;'Unit tariffs'!#REF!,'Unit tariffs'!#REF!,+I16*'Unit tariffs'!#REF!)</f>
        <v>#REF!</v>
      </c>
      <c r="K16" s="645"/>
    </row>
    <row r="17" spans="1:11" ht="13" x14ac:dyDescent="0.3">
      <c r="A17" s="91"/>
      <c r="B17" s="74"/>
      <c r="C17" s="74"/>
      <c r="D17" s="74"/>
      <c r="E17" s="74"/>
      <c r="F17" s="74"/>
      <c r="G17" s="76"/>
      <c r="H17" s="76">
        <v>12448.957745737433</v>
      </c>
      <c r="I17" s="76">
        <f>SUM(I9:I16)</f>
        <v>13144.589684309998</v>
      </c>
      <c r="J17" s="105"/>
      <c r="K17" s="645"/>
    </row>
    <row r="18" spans="1:11" ht="13" x14ac:dyDescent="0.3">
      <c r="A18" s="91"/>
      <c r="B18" s="104" t="s">
        <v>59</v>
      </c>
      <c r="C18" s="74"/>
      <c r="D18" s="74"/>
      <c r="E18" s="74"/>
      <c r="F18" s="74"/>
      <c r="G18" s="74"/>
      <c r="H18" s="74"/>
      <c r="I18" s="74"/>
      <c r="J18" s="95"/>
    </row>
    <row r="19" spans="1:11" ht="13" x14ac:dyDescent="0.3">
      <c r="A19" s="91"/>
      <c r="B19" s="74">
        <v>1</v>
      </c>
      <c r="C19" s="74" t="str">
        <f>'Unit tariffs'!B$87</f>
        <v xml:space="preserve">hour-artisan </v>
      </c>
      <c r="D19" s="74"/>
      <c r="E19" s="74"/>
      <c r="F19" s="74"/>
      <c r="G19" s="74"/>
      <c r="H19" s="76">
        <v>322.85223173076923</v>
      </c>
      <c r="I19" s="76">
        <f>VLOOKUP($C19,'Unit tariffs'!$B$21:$F$123,5,FALSE)*$B19</f>
        <v>351.19276615384621</v>
      </c>
      <c r="J19" s="105"/>
    </row>
    <row r="20" spans="1:11" ht="13" x14ac:dyDescent="0.3">
      <c r="A20" s="91"/>
      <c r="B20" s="74">
        <v>2</v>
      </c>
      <c r="C20" s="74" t="str">
        <f>'Unit tariffs'!B$85</f>
        <v>hour-artisan assistant</v>
      </c>
      <c r="D20" s="74"/>
      <c r="E20" s="74"/>
      <c r="F20" s="74"/>
      <c r="G20" s="74"/>
      <c r="H20" s="81">
        <v>257.07161538461543</v>
      </c>
      <c r="I20" s="81">
        <f>VLOOKUP($C20,'Unit tariffs'!$B$21:$F$123,5,FALSE)*$B20</f>
        <v>279.64851692307695</v>
      </c>
      <c r="J20" s="105"/>
    </row>
    <row r="21" spans="1:11" ht="13" x14ac:dyDescent="0.3">
      <c r="A21" s="91"/>
      <c r="H21" s="76">
        <v>579.92384711538466</v>
      </c>
      <c r="I21" s="76">
        <f>SUM(I19:I20)</f>
        <v>630.84128307692322</v>
      </c>
      <c r="J21" s="105"/>
      <c r="K21" s="645"/>
    </row>
    <row r="22" spans="1:11" ht="13" x14ac:dyDescent="0.3">
      <c r="A22" s="91"/>
      <c r="B22" s="104" t="s">
        <v>60</v>
      </c>
      <c r="C22" s="74"/>
      <c r="D22" s="74"/>
      <c r="E22" s="74"/>
      <c r="F22" s="74"/>
      <c r="G22" s="74"/>
      <c r="H22" s="74"/>
      <c r="I22" s="74"/>
      <c r="J22" s="95"/>
    </row>
    <row r="23" spans="1:11" ht="13" x14ac:dyDescent="0.3">
      <c r="A23" s="91"/>
      <c r="B23" s="74">
        <v>2</v>
      </c>
      <c r="C23" s="74" t="str">
        <f>'Unit tariffs'!B$87</f>
        <v xml:space="preserve">hour-artisan </v>
      </c>
      <c r="D23" s="74"/>
      <c r="E23" s="74"/>
      <c r="F23" s="74"/>
      <c r="G23" s="74"/>
      <c r="H23" s="76">
        <v>645.70446346153847</v>
      </c>
      <c r="I23" s="76">
        <f>VLOOKUP($C23,'Unit tariffs'!$B$21:$F$123,5,FALSE)*$B23</f>
        <v>702.38553230769242</v>
      </c>
      <c r="J23" s="105"/>
    </row>
    <row r="24" spans="1:11" ht="13" x14ac:dyDescent="0.3">
      <c r="A24" s="91"/>
      <c r="B24" s="74">
        <v>4</v>
      </c>
      <c r="C24" s="74" t="str">
        <f>'Unit tariffs'!B$85</f>
        <v>hour-artisan assistant</v>
      </c>
      <c r="D24" s="74"/>
      <c r="E24" s="74"/>
      <c r="F24" s="74"/>
      <c r="G24" s="74"/>
      <c r="H24" s="81">
        <v>514.14323076923085</v>
      </c>
      <c r="I24" s="81">
        <f>VLOOKUP($C24,'Unit tariffs'!$B$21:$F$123,5,FALSE)*$B24</f>
        <v>559.29703384615391</v>
      </c>
      <c r="J24" s="105"/>
    </row>
    <row r="25" spans="1:11" ht="13" x14ac:dyDescent="0.3">
      <c r="A25" s="91"/>
      <c r="B25" s="74"/>
      <c r="C25" s="74"/>
      <c r="D25" s="74"/>
      <c r="E25" s="74"/>
      <c r="F25" s="74"/>
      <c r="G25" s="74"/>
      <c r="H25" s="76">
        <v>1159.8476942307693</v>
      </c>
      <c r="I25" s="76">
        <f>SUM(I23:I24)</f>
        <v>1261.6825661538464</v>
      </c>
      <c r="J25" s="105"/>
      <c r="K25" s="645"/>
    </row>
    <row r="26" spans="1:11" ht="13" x14ac:dyDescent="0.3">
      <c r="A26" s="91"/>
      <c r="B26" s="74"/>
      <c r="C26" s="74"/>
      <c r="D26" s="74"/>
      <c r="E26" s="74"/>
      <c r="F26" s="74"/>
      <c r="G26" s="74"/>
      <c r="H26" s="76"/>
      <c r="I26" s="76"/>
      <c r="J26" s="105"/>
    </row>
    <row r="27" spans="1:11" ht="13" x14ac:dyDescent="0.3">
      <c r="A27" s="91"/>
      <c r="B27" s="104" t="s">
        <v>43</v>
      </c>
      <c r="C27" s="74"/>
      <c r="D27" s="74"/>
      <c r="E27" s="74"/>
      <c r="F27" s="74"/>
      <c r="G27" s="74"/>
      <c r="H27" s="74"/>
      <c r="I27" s="74"/>
      <c r="J27" s="95"/>
    </row>
    <row r="28" spans="1:11" ht="13" x14ac:dyDescent="0.3">
      <c r="A28" s="91"/>
      <c r="B28" s="74">
        <v>24</v>
      </c>
      <c r="C28" s="74" t="str">
        <f>'Unit tariffs'!B$111</f>
        <v>km-truck with platform</v>
      </c>
      <c r="D28" s="74"/>
      <c r="E28" s="74"/>
      <c r="F28" s="74"/>
      <c r="G28" s="74"/>
      <c r="H28" s="76">
        <v>1010.8920834182238</v>
      </c>
      <c r="I28" s="76">
        <f>VLOOKUP($C28,'Unit tariffs'!$B$21:$F$123,5,FALSE)*$B28</f>
        <v>1182.7997218118533</v>
      </c>
      <c r="J28" s="105"/>
    </row>
    <row r="29" spans="1:11" ht="13" x14ac:dyDescent="0.3">
      <c r="A29" s="91"/>
      <c r="B29" s="74">
        <f>+B23</f>
        <v>2</v>
      </c>
      <c r="C29" s="74" t="str">
        <f>'Unit tariffs'!B$112</f>
        <v>hour-truck with platform</v>
      </c>
      <c r="D29" s="74"/>
      <c r="E29" s="74"/>
      <c r="F29" s="74"/>
      <c r="G29" s="74"/>
      <c r="H29" s="76">
        <v>409.96883462334625</v>
      </c>
      <c r="I29" s="76">
        <f>VLOOKUP($C29,'Unit tariffs'!$B$21:$F$123,5,FALSE)*$B29</f>
        <v>479.6862409925584</v>
      </c>
      <c r="J29" s="105"/>
    </row>
    <row r="30" spans="1:11" ht="13" x14ac:dyDescent="0.3">
      <c r="A30" s="91"/>
      <c r="B30" s="74"/>
      <c r="C30" s="74"/>
      <c r="D30" s="74"/>
      <c r="E30" s="74"/>
      <c r="F30" s="74"/>
      <c r="G30" s="74"/>
      <c r="H30" s="137">
        <v>1420.8609180415701</v>
      </c>
      <c r="I30" s="137">
        <f>SUM(I28:I29)</f>
        <v>1662.4859628044117</v>
      </c>
      <c r="J30" s="105"/>
      <c r="K30" s="645"/>
    </row>
    <row r="31" spans="1:11" ht="13" x14ac:dyDescent="0.3">
      <c r="A31" s="91"/>
      <c r="B31" s="104" t="s">
        <v>61</v>
      </c>
      <c r="C31" s="74"/>
      <c r="D31" s="74"/>
      <c r="E31" s="74"/>
      <c r="F31" s="74"/>
      <c r="G31" s="74"/>
      <c r="H31" s="76"/>
      <c r="I31" s="76"/>
      <c r="J31" s="105"/>
    </row>
    <row r="32" spans="1:11" ht="13" x14ac:dyDescent="0.3">
      <c r="A32" s="91"/>
      <c r="B32" s="104"/>
      <c r="C32" s="74"/>
      <c r="D32" s="74"/>
      <c r="E32" s="74"/>
      <c r="F32" s="74"/>
      <c r="G32" s="74"/>
      <c r="H32" s="76"/>
      <c r="I32" s="76"/>
      <c r="J32" s="105"/>
    </row>
    <row r="33" spans="1:12" ht="13" x14ac:dyDescent="0.3">
      <c r="A33" s="91"/>
      <c r="B33" s="74">
        <v>12</v>
      </c>
      <c r="C33" s="74" t="str">
        <f>'Unit tariffs'!B98</f>
        <v>m trench 0.6 m deep, Dig &amp; Backfill (Internal)</v>
      </c>
      <c r="D33" s="85"/>
      <c r="E33" s="85"/>
      <c r="F33" s="85"/>
      <c r="G33" s="85"/>
      <c r="H33" s="76">
        <v>3947.0446430769234</v>
      </c>
      <c r="I33" s="76">
        <f>VLOOKUP($C33,'Unit tariffs'!$B$21:$F$123,5,FALSE)*$B33</f>
        <v>4346.2028381538466</v>
      </c>
      <c r="J33" s="105"/>
    </row>
    <row r="34" spans="1:12" ht="13" x14ac:dyDescent="0.3">
      <c r="A34" s="91"/>
      <c r="B34" s="74">
        <v>3</v>
      </c>
      <c r="C34" s="74" t="str">
        <f>'Unit tariffs'!B99</f>
        <v>m Additional rock per sqm (Internal)</v>
      </c>
      <c r="D34" s="85"/>
      <c r="E34" s="85"/>
      <c r="F34" s="85"/>
      <c r="G34" s="85"/>
      <c r="H34" s="76">
        <v>5782.8653723076932</v>
      </c>
      <c r="I34" s="76">
        <f>VLOOKUP($C34,'Unit tariffs'!$B$21:$F$123,5,FALSE)*$B34</f>
        <v>6428.129729538462</v>
      </c>
      <c r="J34" s="105"/>
    </row>
    <row r="35" spans="1:12" ht="13" x14ac:dyDescent="0.3">
      <c r="A35" s="91"/>
      <c r="B35" s="74"/>
      <c r="C35" s="85"/>
      <c r="D35" s="74"/>
      <c r="E35" s="74"/>
      <c r="F35" s="74"/>
      <c r="G35" s="74"/>
      <c r="H35" s="649">
        <v>9729.9100153846157</v>
      </c>
      <c r="I35" s="649">
        <f>SUM(I33:I34)</f>
        <v>10774.332567692309</v>
      </c>
      <c r="J35" s="105"/>
      <c r="K35" s="745"/>
      <c r="L35" s="646"/>
    </row>
    <row r="36" spans="1:12" ht="13" x14ac:dyDescent="0.3">
      <c r="A36" s="91"/>
      <c r="J36" s="105"/>
    </row>
    <row r="37" spans="1:12" ht="13" x14ac:dyDescent="0.3">
      <c r="A37" s="91"/>
      <c r="J37" s="105"/>
    </row>
    <row r="38" spans="1:12" ht="13" x14ac:dyDescent="0.3">
      <c r="A38" s="91"/>
      <c r="B38" s="74"/>
      <c r="C38" s="74"/>
      <c r="D38" s="74"/>
      <c r="E38" s="74"/>
      <c r="F38" s="74"/>
      <c r="G38" s="76"/>
      <c r="H38" s="76">
        <v>25339.500220509773</v>
      </c>
      <c r="I38" s="76">
        <f>I30+I25+I21+I17+I35</f>
        <v>27473.93206403749</v>
      </c>
      <c r="J38" s="105"/>
      <c r="K38" s="645"/>
    </row>
    <row r="39" spans="1:12" ht="13.5" thickBot="1" x14ac:dyDescent="0.35">
      <c r="A39" s="91"/>
      <c r="B39" s="104" t="str">
        <f>'Unit tariffs'!$B$7</f>
        <v>Administration Levy (Indirect Cost)</v>
      </c>
      <c r="C39" s="74"/>
      <c r="D39" s="106">
        <f>'Unit tariffs'!$C$7</f>
        <v>0.1</v>
      </c>
      <c r="E39" s="74" t="s">
        <v>311</v>
      </c>
      <c r="F39" s="186">
        <f>+'Unit tariffs'!$F$7</f>
        <v>10000</v>
      </c>
      <c r="G39" s="76"/>
      <c r="H39" s="108">
        <v>2533.9500220509776</v>
      </c>
      <c r="I39" s="108">
        <f>IF(I38*$D39&gt;='Unit tariffs'!$E$7,'Unit tariffs'!$E$7,I38*$D39)</f>
        <v>2747.393206403749</v>
      </c>
      <c r="J39" s="95"/>
    </row>
    <row r="40" spans="1:12" ht="13.5" thickTop="1" x14ac:dyDescent="0.3">
      <c r="A40" s="91"/>
      <c r="B40" s="104" t="s">
        <v>44</v>
      </c>
      <c r="C40" s="74"/>
      <c r="D40" s="74"/>
      <c r="E40" s="74"/>
      <c r="F40" s="74"/>
      <c r="G40" s="76"/>
      <c r="H40" s="76">
        <v>27873.45024256075</v>
      </c>
      <c r="I40" s="76">
        <f>SUM(I38:I39)</f>
        <v>30221.325270441237</v>
      </c>
      <c r="J40" s="110"/>
    </row>
    <row r="41" spans="1:12" ht="13" x14ac:dyDescent="0.3">
      <c r="A41" s="91"/>
      <c r="B41" s="74"/>
      <c r="C41" s="74"/>
      <c r="D41" s="74"/>
      <c r="E41" s="74"/>
      <c r="F41" s="74"/>
      <c r="G41" s="74"/>
      <c r="H41" s="74"/>
      <c r="I41" s="74"/>
      <c r="J41" s="113"/>
    </row>
    <row r="42" spans="1:12" ht="13" x14ac:dyDescent="0.3">
      <c r="A42" s="91"/>
      <c r="B42" s="104" t="s">
        <v>45</v>
      </c>
      <c r="C42" s="74"/>
      <c r="D42" s="74"/>
      <c r="E42" s="74"/>
      <c r="F42" s="74"/>
      <c r="G42" s="74"/>
      <c r="H42" s="84">
        <v>27870</v>
      </c>
      <c r="I42" s="84">
        <f>ROUND(I40,-1)</f>
        <v>30220</v>
      </c>
      <c r="J42" s="113"/>
    </row>
    <row r="43" spans="1:12" ht="13" x14ac:dyDescent="0.3">
      <c r="A43" s="91"/>
      <c r="B43" s="74"/>
      <c r="C43" s="74"/>
      <c r="D43" s="74"/>
      <c r="E43" s="74"/>
      <c r="F43" s="74"/>
      <c r="G43" s="74"/>
      <c r="H43" s="112">
        <v>0</v>
      </c>
      <c r="I43" s="112">
        <f>(I42-H42)/H42</f>
        <v>8.4320057409400795E-2</v>
      </c>
      <c r="J43" s="113"/>
    </row>
    <row r="44" spans="1:12" ht="13" x14ac:dyDescent="0.3">
      <c r="A44" s="91"/>
      <c r="B44" s="74"/>
      <c r="C44" s="74"/>
      <c r="D44" s="74"/>
      <c r="E44" s="74"/>
      <c r="F44" s="74"/>
      <c r="G44" s="74"/>
      <c r="H44" s="112"/>
      <c r="I44" s="112"/>
      <c r="J44" s="113"/>
    </row>
    <row r="45" spans="1:12" ht="13" x14ac:dyDescent="0.3">
      <c r="A45" s="91"/>
      <c r="B45" s="74"/>
      <c r="C45" s="74"/>
      <c r="D45" s="74"/>
      <c r="E45" s="74"/>
      <c r="F45" s="74"/>
      <c r="G45" s="74"/>
      <c r="H45" s="112"/>
      <c r="I45" s="112"/>
      <c r="J45" s="113"/>
    </row>
    <row r="46" spans="1:12" ht="13.5" thickBot="1" x14ac:dyDescent="0.35">
      <c r="A46" s="448"/>
      <c r="B46" s="123"/>
      <c r="C46" s="123"/>
      <c r="D46" s="123"/>
      <c r="E46" s="123"/>
      <c r="F46" s="123"/>
      <c r="G46" s="123"/>
      <c r="H46" s="130"/>
      <c r="I46" s="130"/>
      <c r="J46" s="113"/>
    </row>
    <row r="47" spans="1:12" ht="13.5" thickTop="1" x14ac:dyDescent="0.3">
      <c r="A47" s="91"/>
      <c r="B47" s="74"/>
      <c r="C47" s="74"/>
      <c r="D47" s="74"/>
      <c r="E47" s="74"/>
      <c r="F47" s="74"/>
      <c r="G47" s="74"/>
      <c r="H47" s="112"/>
      <c r="I47" s="112"/>
      <c r="J47" s="113"/>
    </row>
    <row r="48" spans="1:12" ht="13" x14ac:dyDescent="0.3">
      <c r="A48" s="91"/>
      <c r="B48" s="74"/>
      <c r="C48" s="74"/>
      <c r="D48" s="74"/>
      <c r="E48" s="74"/>
      <c r="F48" s="74"/>
      <c r="G48" s="74"/>
      <c r="H48" s="112"/>
      <c r="I48" s="112"/>
      <c r="J48" s="113"/>
    </row>
    <row r="49" spans="1:12" ht="13" x14ac:dyDescent="0.3">
      <c r="A49" s="91"/>
      <c r="B49" s="74"/>
      <c r="C49" s="74"/>
      <c r="D49" s="74"/>
      <c r="E49" s="74"/>
      <c r="F49" s="74"/>
      <c r="G49" s="74"/>
      <c r="H49" s="112"/>
      <c r="I49" s="112"/>
      <c r="J49" s="113"/>
    </row>
    <row r="50" spans="1:12" ht="41" customHeight="1" x14ac:dyDescent="0.3">
      <c r="A50" s="91"/>
      <c r="B50" s="147" t="s">
        <v>678</v>
      </c>
      <c r="C50" s="826"/>
      <c r="D50" s="826"/>
      <c r="E50" s="826"/>
      <c r="F50" s="826"/>
      <c r="G50" s="827"/>
      <c r="H50" s="103"/>
      <c r="I50" s="103"/>
      <c r="J50" s="113"/>
    </row>
    <row r="51" spans="1:12" ht="13" x14ac:dyDescent="0.3">
      <c r="A51" s="91"/>
      <c r="B51" s="74"/>
      <c r="C51" s="74"/>
      <c r="D51" s="74"/>
      <c r="E51" s="74"/>
      <c r="F51" s="74"/>
      <c r="G51" s="74"/>
      <c r="H51" s="74"/>
      <c r="I51" s="74"/>
      <c r="J51" s="113"/>
    </row>
    <row r="52" spans="1:12" ht="29" customHeight="1" x14ac:dyDescent="0.3">
      <c r="A52" s="91"/>
      <c r="B52" s="833" t="s">
        <v>680</v>
      </c>
      <c r="C52" s="834"/>
      <c r="D52" s="834"/>
      <c r="E52" s="834"/>
      <c r="F52" s="834"/>
      <c r="G52" s="835"/>
      <c r="H52" s="84"/>
      <c r="I52" s="84"/>
      <c r="J52" s="113"/>
    </row>
    <row r="53" spans="1:12" ht="13" x14ac:dyDescent="0.3">
      <c r="A53" s="91"/>
      <c r="B53" s="74"/>
      <c r="C53" s="74"/>
      <c r="D53" s="74"/>
      <c r="E53" s="74"/>
      <c r="F53" s="74"/>
      <c r="G53" s="74"/>
      <c r="H53" s="103" t="str">
        <f>+'Unit tariffs'!$E$11</f>
        <v>2025/2026</v>
      </c>
      <c r="I53" s="103" t="str">
        <f>+'Unit tariffs'!$F$11</f>
        <v>2026/2027</v>
      </c>
      <c r="J53" s="444" t="s">
        <v>313</v>
      </c>
      <c r="L53" s="146"/>
    </row>
    <row r="54" spans="1:12" ht="13" x14ac:dyDescent="0.3">
      <c r="A54" s="91"/>
      <c r="B54" s="104" t="s">
        <v>316</v>
      </c>
      <c r="C54" s="74"/>
      <c r="D54" s="74"/>
      <c r="E54" s="74"/>
      <c r="F54" s="74"/>
      <c r="G54" s="74"/>
      <c r="H54" s="76"/>
      <c r="I54" s="76"/>
      <c r="J54" s="95"/>
    </row>
    <row r="55" spans="1:12" ht="13" x14ac:dyDescent="0.3">
      <c r="A55" s="91"/>
      <c r="B55" s="74"/>
      <c r="C55" s="74"/>
      <c r="D55" s="74"/>
      <c r="E55" s="74"/>
      <c r="F55" s="74"/>
      <c r="G55" s="74"/>
      <c r="H55" s="74"/>
      <c r="I55" s="74"/>
      <c r="J55" s="95"/>
    </row>
    <row r="56" spans="1:12" ht="13" x14ac:dyDescent="0.3">
      <c r="A56" s="91"/>
      <c r="B56" s="74">
        <v>1</v>
      </c>
      <c r="C56" s="74" t="str">
        <f>'Unit tariffs'!B$34</f>
        <v>METER:S/P WIRED PRE-PAID</v>
      </c>
      <c r="D56" s="74"/>
      <c r="E56" s="74"/>
      <c r="F56" s="74"/>
      <c r="G56" s="74"/>
      <c r="H56" s="76">
        <v>2262.7591214051877</v>
      </c>
      <c r="I56" s="76">
        <f>VLOOKUP($C56,'Unit tariffs'!$B$21:$F$123,5,FALSE)*$B56</f>
        <v>2142.3529679999997</v>
      </c>
      <c r="J56" s="457" t="e">
        <f>IF(+I56*'Unit tariffs'!#REF!&gt;'Unit tariffs'!#REF!,'Unit tariffs'!#REF!,+I56*'Unit tariffs'!#REF!)</f>
        <v>#REF!</v>
      </c>
    </row>
    <row r="57" spans="1:12" ht="13" x14ac:dyDescent="0.3">
      <c r="A57" s="91"/>
      <c r="B57" s="74">
        <v>1</v>
      </c>
      <c r="C57" s="74" t="s">
        <v>99</v>
      </c>
      <c r="D57" s="74"/>
      <c r="E57" s="74"/>
      <c r="F57" s="74"/>
      <c r="G57" s="74"/>
      <c r="H57" s="81">
        <v>195.804552748324</v>
      </c>
      <c r="I57" s="81">
        <f>VLOOKUP($C57,'Unit tariffs'!$B$21:$F$123,5,FALSE)*$B57</f>
        <v>0</v>
      </c>
      <c r="J57" s="457" t="e">
        <f>IF(+I57*'Unit tariffs'!#REF!&gt;'Unit tariffs'!#REF!,'Unit tariffs'!#REF!,+I57*'Unit tariffs'!#REF!)</f>
        <v>#REF!</v>
      </c>
    </row>
    <row r="58" spans="1:12" ht="13" x14ac:dyDescent="0.3">
      <c r="A58" s="91"/>
      <c r="B58" s="74"/>
      <c r="C58" s="74"/>
      <c r="D58" s="74"/>
      <c r="E58" s="74"/>
      <c r="F58" s="74"/>
      <c r="G58" s="76"/>
      <c r="H58" s="76">
        <f>SUM(H56:H57)</f>
        <v>2458.5636741535118</v>
      </c>
      <c r="I58" s="76">
        <f>SUM(I56:I57)</f>
        <v>2142.3529679999997</v>
      </c>
      <c r="J58" s="105"/>
      <c r="K58" s="645"/>
    </row>
    <row r="59" spans="1:12" ht="13" x14ac:dyDescent="0.3">
      <c r="A59" s="91"/>
      <c r="B59" s="816" t="s">
        <v>59</v>
      </c>
      <c r="C59" s="815"/>
      <c r="D59" s="74"/>
      <c r="E59" s="74"/>
      <c r="F59" s="74"/>
      <c r="G59" s="74"/>
      <c r="H59" s="74"/>
      <c r="I59" s="74"/>
      <c r="J59" s="95"/>
    </row>
    <row r="60" spans="1:12" ht="13" x14ac:dyDescent="0.3">
      <c r="A60" s="91"/>
      <c r="B60" s="815">
        <v>1</v>
      </c>
      <c r="C60" s="815" t="str">
        <f>'Unit tariffs'!B$87</f>
        <v xml:space="preserve">hour-artisan </v>
      </c>
      <c r="D60" s="74"/>
      <c r="E60" s="74"/>
      <c r="F60" s="74"/>
      <c r="G60" s="74"/>
      <c r="H60" s="76">
        <v>322.85223173076923</v>
      </c>
      <c r="I60" s="76">
        <f>VLOOKUP($C60,'Unit tariffs'!$B$21:$F$123,5,FALSE)*$B60</f>
        <v>351.19276615384621</v>
      </c>
      <c r="J60" s="105"/>
    </row>
    <row r="61" spans="1:12" ht="13" x14ac:dyDescent="0.3">
      <c r="A61" s="91"/>
      <c r="B61" s="815">
        <v>1</v>
      </c>
      <c r="C61" s="815" t="str">
        <f>'Unit tariffs'!B$85</f>
        <v>hour-artisan assistant</v>
      </c>
      <c r="D61" s="74"/>
      <c r="E61" s="74"/>
      <c r="F61" s="74"/>
      <c r="G61" s="74"/>
      <c r="H61" s="81">
        <v>257.07161538461543</v>
      </c>
      <c r="I61" s="81">
        <f>VLOOKUP($C61,'Unit tariffs'!$B$21:$F$123,5,FALSE)*$B61</f>
        <v>139.82425846153848</v>
      </c>
      <c r="J61" s="105"/>
    </row>
    <row r="62" spans="1:12" ht="13" x14ac:dyDescent="0.3">
      <c r="A62" s="91"/>
      <c r="H62" s="76">
        <v>579.92384711538466</v>
      </c>
      <c r="I62" s="76">
        <f>SUM(I60:I61)</f>
        <v>491.01702461538468</v>
      </c>
      <c r="J62" s="105"/>
      <c r="K62" s="645"/>
    </row>
    <row r="63" spans="1:12" ht="13" x14ac:dyDescent="0.3">
      <c r="A63" s="91"/>
      <c r="B63" s="104" t="s">
        <v>60</v>
      </c>
      <c r="C63" s="74"/>
      <c r="D63" s="74"/>
      <c r="E63" s="74"/>
      <c r="F63" s="74"/>
      <c r="G63" s="74"/>
      <c r="H63" s="74"/>
      <c r="I63" s="74"/>
      <c r="J63" s="95"/>
    </row>
    <row r="64" spans="1:12" ht="13" x14ac:dyDescent="0.3">
      <c r="A64" s="91"/>
      <c r="B64" s="815">
        <v>1</v>
      </c>
      <c r="C64" s="815" t="str">
        <f>'Unit tariffs'!B$87</f>
        <v xml:space="preserve">hour-artisan </v>
      </c>
      <c r="D64" s="74"/>
      <c r="E64" s="74"/>
      <c r="F64" s="74"/>
      <c r="G64" s="74"/>
      <c r="H64" s="76">
        <v>645.70446346153847</v>
      </c>
      <c r="I64" s="76">
        <f>VLOOKUP($C64,'Unit tariffs'!$B$21:$F$123,5,FALSE)*$B64</f>
        <v>351.19276615384621</v>
      </c>
      <c r="J64" s="105"/>
    </row>
    <row r="65" spans="1:11" ht="13" x14ac:dyDescent="0.3">
      <c r="A65" s="91"/>
      <c r="B65" s="815">
        <v>2</v>
      </c>
      <c r="C65" s="815" t="str">
        <f>'Unit tariffs'!B$85</f>
        <v>hour-artisan assistant</v>
      </c>
      <c r="D65" s="74"/>
      <c r="E65" s="74"/>
      <c r="F65" s="74"/>
      <c r="G65" s="74"/>
      <c r="H65" s="81">
        <v>514.14323076923085</v>
      </c>
      <c r="I65" s="81">
        <f>VLOOKUP($C65,'Unit tariffs'!$B$21:$F$123,5,FALSE)*$B65</f>
        <v>279.64851692307695</v>
      </c>
      <c r="J65" s="105"/>
    </row>
    <row r="66" spans="1:11" ht="13" x14ac:dyDescent="0.3">
      <c r="A66" s="91"/>
      <c r="B66" s="74"/>
      <c r="C66" s="74"/>
      <c r="D66" s="74"/>
      <c r="E66" s="74"/>
      <c r="F66" s="74"/>
      <c r="G66" s="74"/>
      <c r="H66" s="76">
        <v>1159.8476942307693</v>
      </c>
      <c r="I66" s="76">
        <f>SUM(I64:I65)</f>
        <v>630.84128307692322</v>
      </c>
      <c r="J66" s="105"/>
      <c r="K66" s="645"/>
    </row>
    <row r="67" spans="1:11" ht="13" x14ac:dyDescent="0.3">
      <c r="A67" s="91"/>
      <c r="B67" s="74"/>
      <c r="C67" s="74"/>
      <c r="D67" s="74"/>
      <c r="E67" s="74"/>
      <c r="F67" s="74"/>
      <c r="G67" s="74"/>
      <c r="H67" s="76"/>
      <c r="I67" s="76"/>
      <c r="J67" s="105"/>
    </row>
    <row r="68" spans="1:11" ht="13" x14ac:dyDescent="0.3">
      <c r="A68" s="91"/>
      <c r="B68" s="104" t="s">
        <v>43</v>
      </c>
      <c r="C68" s="74"/>
      <c r="D68" s="74"/>
      <c r="E68" s="74"/>
      <c r="F68" s="74"/>
      <c r="G68" s="74"/>
      <c r="H68" s="74"/>
      <c r="I68" s="74"/>
      <c r="J68" s="95"/>
    </row>
    <row r="69" spans="1:11" ht="13" x14ac:dyDescent="0.3">
      <c r="A69" s="91"/>
      <c r="B69" s="815">
        <v>12</v>
      </c>
      <c r="C69" s="815" t="str">
        <f>'Unit tariffs'!B$111</f>
        <v>km-truck with platform</v>
      </c>
      <c r="D69" s="74"/>
      <c r="E69" s="74"/>
      <c r="F69" s="74"/>
      <c r="G69" s="74"/>
      <c r="H69" s="76">
        <v>1010.8920834182238</v>
      </c>
      <c r="I69" s="76">
        <f>VLOOKUP($C69,'Unit tariffs'!$B$21:$F$123,5,FALSE)*$B69</f>
        <v>591.39986090592663</v>
      </c>
      <c r="J69" s="105"/>
    </row>
    <row r="70" spans="1:11" ht="13" x14ac:dyDescent="0.3">
      <c r="A70" s="91"/>
      <c r="B70" s="74">
        <f>+B64</f>
        <v>1</v>
      </c>
      <c r="C70" s="74" t="str">
        <f>'Unit tariffs'!B$112</f>
        <v>hour-truck with platform</v>
      </c>
      <c r="D70" s="74"/>
      <c r="E70" s="74"/>
      <c r="F70" s="74"/>
      <c r="G70" s="74"/>
      <c r="H70" s="76">
        <v>409.96883462334625</v>
      </c>
      <c r="I70" s="76">
        <f>VLOOKUP($C70,'Unit tariffs'!$B$21:$F$123,5,FALSE)*$B70</f>
        <v>239.8431204962792</v>
      </c>
      <c r="J70" s="105"/>
    </row>
    <row r="71" spans="1:11" ht="13" x14ac:dyDescent="0.3">
      <c r="A71" s="91"/>
      <c r="B71" s="74"/>
      <c r="C71" s="74"/>
      <c r="D71" s="74"/>
      <c r="E71" s="74"/>
      <c r="F71" s="74"/>
      <c r="G71" s="74"/>
      <c r="H71" s="137">
        <v>1420.8609180415701</v>
      </c>
      <c r="I71" s="137">
        <f>SUM(I69:I70)</f>
        <v>831.24298140220583</v>
      </c>
      <c r="J71" s="105"/>
      <c r="K71" s="645"/>
    </row>
    <row r="72" spans="1:11" ht="13" x14ac:dyDescent="0.3">
      <c r="A72" s="91"/>
      <c r="B72" s="74"/>
      <c r="C72" s="74"/>
      <c r="D72" s="74"/>
      <c r="E72" s="74"/>
      <c r="F72" s="74"/>
      <c r="G72" s="74"/>
      <c r="H72" s="76"/>
      <c r="I72" s="76"/>
      <c r="J72" s="105"/>
    </row>
    <row r="73" spans="1:11" ht="13" x14ac:dyDescent="0.3">
      <c r="A73" s="91"/>
      <c r="B73" s="74"/>
      <c r="C73" s="74"/>
      <c r="D73" s="74"/>
      <c r="E73" s="74"/>
      <c r="F73" s="74"/>
      <c r="G73" s="76"/>
      <c r="H73" s="76">
        <v>10995.942576784448</v>
      </c>
      <c r="I73" s="76">
        <f>I71+I66+I62+I58+I72</f>
        <v>4095.4542570945137</v>
      </c>
      <c r="J73" s="105"/>
    </row>
    <row r="74" spans="1:11" ht="13.5" thickBot="1" x14ac:dyDescent="0.35">
      <c r="A74" s="91"/>
      <c r="B74" s="104" t="str">
        <f>'Unit tariffs'!$B$7</f>
        <v>Administration Levy (Indirect Cost)</v>
      </c>
      <c r="C74" s="74"/>
      <c r="D74" s="106">
        <f>'Unit tariffs'!$C$7</f>
        <v>0.1</v>
      </c>
      <c r="E74" s="74" t="s">
        <v>311</v>
      </c>
      <c r="F74" s="186">
        <f>+'Unit tariffs'!$F$7</f>
        <v>10000</v>
      </c>
      <c r="G74" s="76"/>
      <c r="H74" s="108">
        <v>1099.5942576784448</v>
      </c>
      <c r="I74" s="108">
        <f>IF(I73*$D74&gt;='Unit tariffs'!$E$7,'Unit tariffs'!$E$7,I73*$D74)</f>
        <v>409.54542570945137</v>
      </c>
      <c r="J74" s="105"/>
    </row>
    <row r="75" spans="1:11" ht="13.5" thickTop="1" x14ac:dyDescent="0.3">
      <c r="A75" s="91"/>
      <c r="B75" s="104" t="s">
        <v>44</v>
      </c>
      <c r="C75" s="74"/>
      <c r="D75" s="74"/>
      <c r="E75" s="74"/>
      <c r="F75" s="74"/>
      <c r="G75" s="76"/>
      <c r="H75" s="76">
        <v>12095.536834462893</v>
      </c>
      <c r="I75" s="76">
        <f>SUM(I73:I74)</f>
        <v>4504.9996828039648</v>
      </c>
      <c r="J75" s="105"/>
      <c r="K75" s="645"/>
    </row>
    <row r="76" spans="1:11" ht="13" x14ac:dyDescent="0.3">
      <c r="A76" s="91"/>
      <c r="B76" s="74"/>
      <c r="C76" s="74"/>
      <c r="D76" s="74"/>
      <c r="E76" s="74"/>
      <c r="F76" s="74"/>
      <c r="G76" s="74"/>
      <c r="H76" s="74"/>
      <c r="I76" s="74"/>
      <c r="J76" s="95"/>
    </row>
    <row r="77" spans="1:11" ht="13" x14ac:dyDescent="0.3">
      <c r="A77" s="91"/>
      <c r="B77" s="74"/>
      <c r="C77" s="74"/>
      <c r="D77" s="74"/>
      <c r="E77" s="74"/>
      <c r="F77" s="74"/>
      <c r="G77" s="74"/>
      <c r="H77" s="84">
        <v>12100</v>
      </c>
      <c r="I77" s="84">
        <f>ROUND(I75,-1)</f>
        <v>4500</v>
      </c>
      <c r="J77" s="95"/>
    </row>
    <row r="78" spans="1:11" ht="13" x14ac:dyDescent="0.3">
      <c r="A78" s="91"/>
      <c r="B78" s="74"/>
      <c r="C78" s="74"/>
      <c r="D78" s="74"/>
      <c r="E78" s="74"/>
      <c r="F78" s="74"/>
      <c r="G78" s="74"/>
      <c r="H78" s="84"/>
      <c r="I78" s="84"/>
      <c r="J78" s="95"/>
    </row>
    <row r="79" spans="1:11" ht="13" x14ac:dyDescent="0.3">
      <c r="A79" s="91"/>
      <c r="B79" s="74"/>
      <c r="C79" s="74"/>
      <c r="D79" s="74"/>
      <c r="E79" s="74"/>
      <c r="F79" s="74"/>
      <c r="G79" s="74"/>
      <c r="H79" s="112">
        <v>1.6556291390728477E-3</v>
      </c>
      <c r="I79" s="112">
        <f>+(I77-H77)/H77</f>
        <v>-0.62809917355371903</v>
      </c>
      <c r="J79" s="95"/>
    </row>
    <row r="80" spans="1:11" ht="13.5" thickBot="1" x14ac:dyDescent="0.35">
      <c r="A80" s="448"/>
      <c r="B80" s="123"/>
      <c r="C80" s="123"/>
      <c r="D80" s="123"/>
      <c r="E80" s="123"/>
      <c r="F80" s="123"/>
      <c r="G80" s="123"/>
      <c r="H80" s="797"/>
      <c r="I80" s="797"/>
      <c r="J80" s="95"/>
    </row>
    <row r="81" spans="1:10" ht="13.5" thickTop="1" x14ac:dyDescent="0.3">
      <c r="A81" s="91"/>
      <c r="B81" s="74"/>
      <c r="C81" s="74"/>
      <c r="D81" s="74"/>
      <c r="E81" s="74"/>
      <c r="F81" s="74"/>
      <c r="G81" s="74"/>
      <c r="H81" s="84"/>
      <c r="I81" s="84"/>
      <c r="J81" s="95"/>
    </row>
    <row r="82" spans="1:10" ht="13" x14ac:dyDescent="0.3">
      <c r="A82" s="91"/>
      <c r="B82" s="74"/>
      <c r="C82" s="74"/>
      <c r="D82" s="74"/>
      <c r="E82" s="74"/>
      <c r="F82" s="74"/>
      <c r="G82" s="74"/>
      <c r="H82" s="84"/>
      <c r="I82" s="84"/>
      <c r="J82" s="95"/>
    </row>
    <row r="83" spans="1:10" ht="29.75" customHeight="1" x14ac:dyDescent="0.3">
      <c r="A83" s="91"/>
      <c r="B83" s="833" t="s">
        <v>679</v>
      </c>
      <c r="C83" s="834"/>
      <c r="D83" s="834"/>
      <c r="E83" s="834"/>
      <c r="F83" s="834"/>
      <c r="G83" s="835"/>
      <c r="H83" s="84"/>
      <c r="I83" s="84"/>
      <c r="J83" s="95"/>
    </row>
    <row r="84" spans="1:10" ht="13" x14ac:dyDescent="0.3">
      <c r="A84" s="91"/>
      <c r="B84" s="74"/>
      <c r="C84" s="74"/>
      <c r="D84" s="74"/>
      <c r="E84" s="74"/>
      <c r="F84" s="74"/>
      <c r="G84" s="74"/>
      <c r="H84" s="103" t="str">
        <f>+'Unit tariffs'!$E$11</f>
        <v>2025/2026</v>
      </c>
      <c r="I84" s="103" t="str">
        <f>+'Unit tariffs'!$F$11</f>
        <v>2026/2027</v>
      </c>
      <c r="J84" s="95"/>
    </row>
    <row r="85" spans="1:10" ht="13" x14ac:dyDescent="0.3">
      <c r="A85" s="91"/>
      <c r="B85" s="104" t="s">
        <v>316</v>
      </c>
      <c r="C85" s="74"/>
      <c r="D85" s="74"/>
      <c r="E85" s="74"/>
      <c r="F85" s="74"/>
      <c r="G85" s="74"/>
      <c r="H85" s="76"/>
      <c r="I85" s="76"/>
      <c r="J85" s="95"/>
    </row>
    <row r="86" spans="1:10" ht="13" x14ac:dyDescent="0.3">
      <c r="A86" s="91"/>
      <c r="B86" s="74"/>
      <c r="C86" s="74"/>
      <c r="D86" s="74"/>
      <c r="E86" s="74"/>
      <c r="F86" s="74"/>
      <c r="G86" s="74"/>
      <c r="H86" s="74"/>
      <c r="I86" s="74"/>
      <c r="J86" s="95"/>
    </row>
    <row r="87" spans="1:10" ht="13" x14ac:dyDescent="0.3">
      <c r="A87" s="91"/>
      <c r="B87" s="74">
        <v>0.5</v>
      </c>
      <c r="C87" s="74" t="s">
        <v>229</v>
      </c>
      <c r="D87" s="74"/>
      <c r="E87" s="74"/>
      <c r="F87" s="74"/>
      <c r="G87" s="74"/>
      <c r="H87" s="76">
        <v>2262.7591214051877</v>
      </c>
      <c r="I87" s="76">
        <f>VLOOKUP($C87,'Unit tariffs'!$B$21:$F$123,5,FALSE)*$B87</f>
        <v>0</v>
      </c>
      <c r="J87" s="95"/>
    </row>
    <row r="88" spans="1:10" ht="13" x14ac:dyDescent="0.3">
      <c r="A88" s="91"/>
      <c r="B88" s="74">
        <v>3</v>
      </c>
      <c r="C88" s="74" t="s">
        <v>99</v>
      </c>
      <c r="D88" s="74"/>
      <c r="E88" s="74"/>
      <c r="F88" s="74"/>
      <c r="G88" s="74"/>
      <c r="H88" s="81">
        <v>195.804552748324</v>
      </c>
      <c r="I88" s="81">
        <f>VLOOKUP($C88,'Unit tariffs'!$B$21:$F$123,5,FALSE)*$B88</f>
        <v>0</v>
      </c>
      <c r="J88" s="95"/>
    </row>
    <row r="89" spans="1:10" ht="13" x14ac:dyDescent="0.3">
      <c r="A89" s="91"/>
      <c r="B89" s="74"/>
      <c r="C89" s="74"/>
      <c r="D89" s="74"/>
      <c r="E89" s="74"/>
      <c r="F89" s="74"/>
      <c r="G89" s="76"/>
      <c r="H89" s="76">
        <f>SUM(H87:H88)</f>
        <v>2458.5636741535118</v>
      </c>
      <c r="I89" s="76">
        <f>SUM(I87:I88)</f>
        <v>0</v>
      </c>
      <c r="J89" s="95"/>
    </row>
    <row r="90" spans="1:10" ht="13" x14ac:dyDescent="0.3">
      <c r="A90" s="91"/>
      <c r="B90" s="816" t="s">
        <v>59</v>
      </c>
      <c r="C90" s="815"/>
      <c r="D90" s="74"/>
      <c r="E90" s="74"/>
      <c r="F90" s="74"/>
      <c r="G90" s="74"/>
      <c r="H90" s="74"/>
      <c r="I90" s="74"/>
      <c r="J90" s="95"/>
    </row>
    <row r="91" spans="1:10" ht="13" x14ac:dyDescent="0.3">
      <c r="A91" s="91"/>
      <c r="B91" s="815">
        <v>2</v>
      </c>
      <c r="C91" s="815" t="str">
        <f>'Unit tariffs'!B$87</f>
        <v xml:space="preserve">hour-artisan </v>
      </c>
      <c r="D91" s="74"/>
      <c r="E91" s="74"/>
      <c r="F91" s="74"/>
      <c r="G91" s="74"/>
      <c r="H91" s="76">
        <v>322.85223173076923</v>
      </c>
      <c r="I91" s="76">
        <f>VLOOKUP($C91,'Unit tariffs'!$B$21:$F$123,5,FALSE)*$B91</f>
        <v>702.38553230769242</v>
      </c>
      <c r="J91" s="95"/>
    </row>
    <row r="92" spans="1:10" ht="13" x14ac:dyDescent="0.3">
      <c r="A92" s="91"/>
      <c r="B92" s="815">
        <v>1</v>
      </c>
      <c r="C92" s="815" t="str">
        <f>'Unit tariffs'!B$85</f>
        <v>hour-artisan assistant</v>
      </c>
      <c r="D92" s="74"/>
      <c r="E92" s="74"/>
      <c r="F92" s="74"/>
      <c r="G92" s="74"/>
      <c r="H92" s="81">
        <v>257.07161538461543</v>
      </c>
      <c r="I92" s="81">
        <f>VLOOKUP($C92,'Unit tariffs'!$B$21:$F$123,5,FALSE)*$B92</f>
        <v>139.82425846153848</v>
      </c>
      <c r="J92" s="95"/>
    </row>
    <row r="93" spans="1:10" ht="13" x14ac:dyDescent="0.3">
      <c r="A93" s="91"/>
      <c r="H93" s="76">
        <v>579.92384711538466</v>
      </c>
      <c r="I93" s="76">
        <f>SUM(I91:I92)</f>
        <v>842.20979076923095</v>
      </c>
      <c r="J93" s="95"/>
    </row>
    <row r="94" spans="1:10" ht="13" x14ac:dyDescent="0.3">
      <c r="A94" s="91"/>
      <c r="B94" s="104" t="s">
        <v>60</v>
      </c>
      <c r="C94" s="74"/>
      <c r="D94" s="74"/>
      <c r="E94" s="74"/>
      <c r="F94" s="74"/>
      <c r="G94" s="74"/>
      <c r="H94" s="74"/>
      <c r="I94" s="74"/>
      <c r="J94" s="95"/>
    </row>
    <row r="95" spans="1:10" ht="13" x14ac:dyDescent="0.3">
      <c r="A95" s="91"/>
      <c r="B95" s="815">
        <v>1</v>
      </c>
      <c r="C95" s="815" t="str">
        <f>'Unit tariffs'!B$87</f>
        <v xml:space="preserve">hour-artisan </v>
      </c>
      <c r="D95" s="74"/>
      <c r="E95" s="74"/>
      <c r="F95" s="74"/>
      <c r="G95" s="74"/>
      <c r="H95" s="76">
        <v>645.70446346153847</v>
      </c>
      <c r="I95" s="76">
        <f>VLOOKUP($C95,'Unit tariffs'!$B$21:$F$123,5,FALSE)*$B95</f>
        <v>351.19276615384621</v>
      </c>
      <c r="J95" s="95"/>
    </row>
    <row r="96" spans="1:10" ht="13" x14ac:dyDescent="0.3">
      <c r="A96" s="91"/>
      <c r="B96" s="815">
        <v>2</v>
      </c>
      <c r="C96" s="815" t="str">
        <f>'Unit tariffs'!B$85</f>
        <v>hour-artisan assistant</v>
      </c>
      <c r="D96" s="74"/>
      <c r="E96" s="74"/>
      <c r="F96" s="74"/>
      <c r="G96" s="74"/>
      <c r="H96" s="81">
        <v>514.14323076923085</v>
      </c>
      <c r="I96" s="81">
        <f>VLOOKUP($C96,'Unit tariffs'!$B$21:$F$123,5,FALSE)*$B96</f>
        <v>279.64851692307695</v>
      </c>
      <c r="J96" s="95"/>
    </row>
    <row r="97" spans="1:10" ht="13" x14ac:dyDescent="0.3">
      <c r="A97" s="91"/>
      <c r="B97" s="74"/>
      <c r="C97" s="74"/>
      <c r="D97" s="74"/>
      <c r="E97" s="74"/>
      <c r="F97" s="74"/>
      <c r="G97" s="74"/>
      <c r="H97" s="76">
        <v>1159.8476942307693</v>
      </c>
      <c r="I97" s="76">
        <f>SUM(I95:I96)</f>
        <v>630.84128307692322</v>
      </c>
      <c r="J97" s="95"/>
    </row>
    <row r="98" spans="1:10" ht="13" x14ac:dyDescent="0.3">
      <c r="A98" s="91"/>
      <c r="B98" s="74"/>
      <c r="C98" s="74"/>
      <c r="D98" s="74"/>
      <c r="E98" s="74"/>
      <c r="F98" s="74"/>
      <c r="G98" s="74"/>
      <c r="H98" s="76"/>
      <c r="I98" s="76"/>
      <c r="J98" s="95"/>
    </row>
    <row r="99" spans="1:10" ht="13" x14ac:dyDescent="0.3">
      <c r="A99" s="91"/>
      <c r="B99" s="104" t="s">
        <v>43</v>
      </c>
      <c r="C99" s="74"/>
      <c r="D99" s="74"/>
      <c r="E99" s="74"/>
      <c r="F99" s="74"/>
      <c r="G99" s="74"/>
      <c r="H99" s="74"/>
      <c r="I99" s="74"/>
      <c r="J99" s="95"/>
    </row>
    <row r="100" spans="1:10" ht="13" x14ac:dyDescent="0.3">
      <c r="A100" s="91"/>
      <c r="B100" s="815">
        <v>24</v>
      </c>
      <c r="C100" s="815" t="str">
        <f>'Unit tariffs'!B$111</f>
        <v>km-truck with platform</v>
      </c>
      <c r="D100" s="74"/>
      <c r="E100" s="74"/>
      <c r="F100" s="74"/>
      <c r="G100" s="74"/>
      <c r="H100" s="76">
        <v>1010.8920834182238</v>
      </c>
      <c r="I100" s="76">
        <f>VLOOKUP($C100,'Unit tariffs'!$B$21:$F$123,5,FALSE)*$B100</f>
        <v>1182.7997218118533</v>
      </c>
      <c r="J100" s="95"/>
    </row>
    <row r="101" spans="1:10" ht="13" x14ac:dyDescent="0.3">
      <c r="A101" s="91"/>
      <c r="B101" s="74">
        <f>+B95</f>
        <v>1</v>
      </c>
      <c r="C101" s="74" t="str">
        <f>'Unit tariffs'!B$112</f>
        <v>hour-truck with platform</v>
      </c>
      <c r="D101" s="74"/>
      <c r="E101" s="74"/>
      <c r="F101" s="74"/>
      <c r="G101" s="74"/>
      <c r="H101" s="76">
        <v>409.96883462334625</v>
      </c>
      <c r="I101" s="76">
        <f>VLOOKUP($C101,'Unit tariffs'!$B$21:$F$123,5,FALSE)*$B101</f>
        <v>239.8431204962792</v>
      </c>
      <c r="J101" s="95"/>
    </row>
    <row r="102" spans="1:10" ht="13" x14ac:dyDescent="0.3">
      <c r="A102" s="91"/>
      <c r="B102" s="74"/>
      <c r="C102" s="74"/>
      <c r="D102" s="74"/>
      <c r="E102" s="74"/>
      <c r="F102" s="74"/>
      <c r="G102" s="74"/>
      <c r="H102" s="137">
        <v>1420.8609180415701</v>
      </c>
      <c r="I102" s="137">
        <f>SUM(I100:I101)</f>
        <v>1422.6428423081325</v>
      </c>
      <c r="J102" s="95"/>
    </row>
    <row r="103" spans="1:10" ht="13" x14ac:dyDescent="0.3">
      <c r="A103" s="91"/>
      <c r="B103" s="74"/>
      <c r="C103" s="74"/>
      <c r="D103" s="74"/>
      <c r="E103" s="74"/>
      <c r="F103" s="74"/>
      <c r="G103" s="74"/>
      <c r="H103" s="76"/>
      <c r="I103" s="76"/>
      <c r="J103" s="95"/>
    </row>
    <row r="104" spans="1:10" ht="13" x14ac:dyDescent="0.3">
      <c r="A104" s="91"/>
      <c r="B104" s="74"/>
      <c r="C104" s="74"/>
      <c r="D104" s="74"/>
      <c r="E104" s="74"/>
      <c r="F104" s="74"/>
      <c r="G104" s="76"/>
      <c r="H104" s="76">
        <v>10995.942576784448</v>
      </c>
      <c r="I104" s="76">
        <f>I102+I97+I93+I89+I103</f>
        <v>2895.6939161542864</v>
      </c>
      <c r="J104" s="95"/>
    </row>
    <row r="105" spans="1:10" ht="13.5" thickBot="1" x14ac:dyDescent="0.35">
      <c r="A105" s="91"/>
      <c r="B105" s="104" t="str">
        <f>'Unit tariffs'!$B$7</f>
        <v>Administration Levy (Indirect Cost)</v>
      </c>
      <c r="C105" s="74"/>
      <c r="D105" s="106">
        <f>'Unit tariffs'!$C$7</f>
        <v>0.1</v>
      </c>
      <c r="E105" s="74" t="s">
        <v>311</v>
      </c>
      <c r="F105" s="186">
        <f>+'Unit tariffs'!$F$7</f>
        <v>10000</v>
      </c>
      <c r="G105" s="76"/>
      <c r="H105" s="108">
        <v>1099.5942576784448</v>
      </c>
      <c r="I105" s="108">
        <f>IF(I104*$D105&gt;='Unit tariffs'!$E$7,'Unit tariffs'!$E$7,I104*$D105)</f>
        <v>289.56939161542863</v>
      </c>
      <c r="J105" s="95"/>
    </row>
    <row r="106" spans="1:10" ht="13.5" thickTop="1" x14ac:dyDescent="0.3">
      <c r="A106" s="91"/>
      <c r="B106" s="104" t="s">
        <v>44</v>
      </c>
      <c r="C106" s="74"/>
      <c r="D106" s="74"/>
      <c r="E106" s="74"/>
      <c r="F106" s="74"/>
      <c r="G106" s="76"/>
      <c r="H106" s="76">
        <v>12095.536834462893</v>
      </c>
      <c r="I106" s="76">
        <f>SUM(I104:I105)</f>
        <v>3185.2633077697151</v>
      </c>
      <c r="J106" s="95"/>
    </row>
    <row r="107" spans="1:10" ht="13" x14ac:dyDescent="0.3">
      <c r="A107" s="91"/>
      <c r="B107" s="74"/>
      <c r="C107" s="74"/>
      <c r="D107" s="74"/>
      <c r="E107" s="74"/>
      <c r="F107" s="74"/>
      <c r="G107" s="74"/>
      <c r="H107" s="74"/>
      <c r="I107" s="74"/>
      <c r="J107" s="95"/>
    </row>
    <row r="108" spans="1:10" ht="13" x14ac:dyDescent="0.3">
      <c r="A108" s="91"/>
      <c r="B108" s="74"/>
      <c r="C108" s="74"/>
      <c r="D108" s="74"/>
      <c r="E108" s="74"/>
      <c r="F108" s="74"/>
      <c r="G108" s="74"/>
      <c r="H108" s="84">
        <v>12100</v>
      </c>
      <c r="I108" s="84">
        <f>ROUND(I106,-1)</f>
        <v>3190</v>
      </c>
      <c r="J108" s="95"/>
    </row>
    <row r="109" spans="1:10" ht="13" x14ac:dyDescent="0.3">
      <c r="A109" s="91"/>
      <c r="B109" s="74"/>
      <c r="C109" s="74"/>
      <c r="D109" s="74"/>
      <c r="E109" s="74"/>
      <c r="F109" s="74"/>
      <c r="G109" s="74"/>
      <c r="H109" s="84"/>
      <c r="I109" s="84"/>
      <c r="J109" s="95"/>
    </row>
    <row r="110" spans="1:10" ht="13" x14ac:dyDescent="0.3">
      <c r="A110" s="91"/>
      <c r="B110" s="74"/>
      <c r="C110" s="74"/>
      <c r="D110" s="74"/>
      <c r="E110" s="74"/>
      <c r="F110" s="74"/>
      <c r="G110" s="74"/>
      <c r="H110" s="112">
        <v>1.6556291390728477E-3</v>
      </c>
      <c r="I110" s="112">
        <f>+(I108-H108)/H108</f>
        <v>-0.73636363636363633</v>
      </c>
      <c r="J110" s="95"/>
    </row>
    <row r="111" spans="1:10" ht="13" x14ac:dyDescent="0.3">
      <c r="A111" s="91"/>
      <c r="B111" s="74"/>
      <c r="C111" s="74"/>
      <c r="D111" s="74"/>
      <c r="E111" s="74"/>
      <c r="F111" s="74"/>
      <c r="G111" s="74"/>
      <c r="H111" s="84"/>
      <c r="I111" s="84"/>
      <c r="J111" s="95"/>
    </row>
    <row r="112" spans="1:10" ht="13.5" thickBot="1" x14ac:dyDescent="0.35">
      <c r="A112" s="448"/>
      <c r="B112" s="123"/>
      <c r="C112" s="123"/>
      <c r="D112" s="123"/>
      <c r="E112" s="123"/>
      <c r="F112" s="123"/>
      <c r="G112" s="123"/>
      <c r="H112" s="797"/>
      <c r="I112" s="797"/>
      <c r="J112" s="95"/>
    </row>
    <row r="113" spans="1:10" ht="13.5" thickTop="1" x14ac:dyDescent="0.3">
      <c r="A113" s="91"/>
      <c r="B113" s="74"/>
      <c r="C113" s="74"/>
      <c r="D113" s="74"/>
      <c r="E113" s="74"/>
      <c r="F113" s="74"/>
      <c r="G113" s="74"/>
      <c r="H113" s="84"/>
      <c r="I113" s="84"/>
      <c r="J113" s="95"/>
    </row>
    <row r="114" spans="1:10" ht="13" x14ac:dyDescent="0.3">
      <c r="A114" s="91"/>
      <c r="B114" s="74"/>
      <c r="C114" s="74"/>
      <c r="D114" s="74"/>
      <c r="E114" s="74"/>
      <c r="F114" s="74"/>
      <c r="G114" s="74"/>
      <c r="H114" s="112"/>
      <c r="I114" s="112"/>
      <c r="J114" s="113"/>
    </row>
    <row r="115" spans="1:10" ht="88.75" customHeight="1" x14ac:dyDescent="0.3">
      <c r="A115" s="91"/>
      <c r="B115" s="833" t="s">
        <v>731</v>
      </c>
      <c r="C115" s="834"/>
      <c r="D115" s="834"/>
      <c r="E115" s="834"/>
      <c r="F115" s="834"/>
      <c r="G115" s="835"/>
      <c r="H115" s="84"/>
      <c r="I115" s="84"/>
      <c r="J115" s="95"/>
    </row>
    <row r="116" spans="1:10" ht="18" customHeight="1" x14ac:dyDescent="0.3">
      <c r="A116" s="91"/>
      <c r="B116" s="74"/>
      <c r="C116" s="74"/>
      <c r="D116" s="74"/>
      <c r="E116" s="74"/>
      <c r="F116" s="74"/>
      <c r="G116" s="74"/>
      <c r="H116" s="103" t="str">
        <f>+'Unit tariffs'!$E$11</f>
        <v>2025/2026</v>
      </c>
      <c r="I116" s="103" t="str">
        <f>+'Unit tariffs'!$F$11</f>
        <v>2026/2027</v>
      </c>
      <c r="J116" s="95"/>
    </row>
    <row r="117" spans="1:10" ht="28.25" customHeight="1" x14ac:dyDescent="0.3">
      <c r="A117" s="91"/>
      <c r="B117" s="104" t="s">
        <v>316</v>
      </c>
      <c r="C117" s="74"/>
      <c r="D117" s="74"/>
      <c r="E117" s="74"/>
      <c r="F117" s="74"/>
      <c r="G117" s="74"/>
      <c r="H117" s="188"/>
      <c r="I117" s="188"/>
      <c r="J117" s="95"/>
    </row>
    <row r="118" spans="1:10" ht="13" x14ac:dyDescent="0.3">
      <c r="A118" s="91"/>
      <c r="B118" s="74"/>
      <c r="C118" s="74"/>
      <c r="D118" s="74"/>
      <c r="E118" s="74"/>
      <c r="F118" s="74"/>
      <c r="G118" s="74"/>
      <c r="H118" s="74"/>
      <c r="I118" s="74"/>
      <c r="J118" s="444" t="s">
        <v>313</v>
      </c>
    </row>
    <row r="119" spans="1:10" ht="13" x14ac:dyDescent="0.3">
      <c r="A119" s="91"/>
      <c r="B119" s="815">
        <v>1</v>
      </c>
      <c r="C119" s="815" t="s">
        <v>96</v>
      </c>
      <c r="D119" s="74"/>
      <c r="E119" s="74"/>
      <c r="F119" s="74"/>
      <c r="G119" s="74"/>
      <c r="H119" s="76">
        <v>4047.0136257390277</v>
      </c>
      <c r="I119" s="76">
        <f>VLOOKUP($C119,'Unit tariffs'!$B$21:$F$123,5,FALSE)*$B119</f>
        <v>2148.9969740399997</v>
      </c>
      <c r="J119" s="457" t="e">
        <f>IF(+I119*'Unit tariffs'!#REF!&gt;'Unit tariffs'!#REF!,'Unit tariffs'!#REF!,+I119*'Unit tariffs'!#REF!)</f>
        <v>#REF!</v>
      </c>
    </row>
    <row r="120" spans="1:10" ht="13" x14ac:dyDescent="0.3">
      <c r="A120" s="91"/>
      <c r="B120" s="815">
        <v>1</v>
      </c>
      <c r="C120" s="74" t="str">
        <f>'Unit tariffs'!B$34</f>
        <v>METER:S/P WIRED PRE-PAID</v>
      </c>
      <c r="D120" s="74"/>
      <c r="E120" s="74"/>
      <c r="F120" s="74"/>
      <c r="G120" s="74"/>
      <c r="H120" s="76">
        <v>7323.5537155157153</v>
      </c>
      <c r="I120" s="76">
        <f>VLOOKUP($C120,'Unit tariffs'!$B$21:$F$123,5,FALSE)*$B120</f>
        <v>2142.3529679999997</v>
      </c>
      <c r="J120" s="457" t="e">
        <f>IF(+I120*'Unit tariffs'!#REF!&gt;'Unit tariffs'!#REF!,'Unit tariffs'!#REF!,+I120*'Unit tariffs'!#REF!)</f>
        <v>#REF!</v>
      </c>
    </row>
    <row r="121" spans="1:10" ht="13" x14ac:dyDescent="0.3">
      <c r="A121" s="91"/>
      <c r="B121" s="74">
        <v>1</v>
      </c>
      <c r="C121" s="74" t="s">
        <v>99</v>
      </c>
      <c r="D121" s="74"/>
      <c r="E121" s="74"/>
      <c r="F121" s="74"/>
      <c r="G121" s="74"/>
      <c r="H121" s="76">
        <v>587.413658244972</v>
      </c>
      <c r="I121" s="76">
        <f>VLOOKUP($C121,'Unit tariffs'!$B$21:$F$123,5,FALSE)*$B121</f>
        <v>0</v>
      </c>
      <c r="J121" s="457" t="e">
        <f>IF(+I121*'Unit tariffs'!#REF!&gt;'Unit tariffs'!#REF!,'Unit tariffs'!#REF!,+I121*'Unit tariffs'!#REF!)</f>
        <v>#REF!</v>
      </c>
    </row>
    <row r="122" spans="1:10" ht="13" x14ac:dyDescent="0.3">
      <c r="A122" s="91"/>
      <c r="B122" s="815">
        <v>37</v>
      </c>
      <c r="C122" s="815" t="s">
        <v>15</v>
      </c>
      <c r="D122" s="74"/>
      <c r="E122" s="74"/>
      <c r="F122" s="74"/>
      <c r="G122" s="74"/>
      <c r="H122" s="76">
        <v>1768.6153977426718</v>
      </c>
      <c r="I122" s="76">
        <f>VLOOKUP($C122,'Unit tariffs'!$B$21:$F$123,5,FALSE)*$B122</f>
        <v>366.65195916999994</v>
      </c>
      <c r="J122" s="457" t="e">
        <f>IF(+I122*'Unit tariffs'!#REF!&gt;'Unit tariffs'!#REF!,'Unit tariffs'!#REF!,+I122*'Unit tariffs'!#REF!)</f>
        <v>#REF!</v>
      </c>
    </row>
    <row r="123" spans="1:10" ht="13" x14ac:dyDescent="0.3">
      <c r="A123" s="91"/>
      <c r="B123" s="815">
        <v>1</v>
      </c>
      <c r="C123" s="815" t="s">
        <v>16</v>
      </c>
      <c r="D123" s="74"/>
      <c r="E123" s="74"/>
      <c r="F123" s="74"/>
      <c r="G123" s="74"/>
      <c r="H123" s="76">
        <v>27.806563703904001</v>
      </c>
      <c r="I123" s="76">
        <f>VLOOKUP($C123,'Unit tariffs'!$B$21:$F$123,5,FALSE)*$B123</f>
        <v>16.21453855</v>
      </c>
      <c r="J123" s="457" t="e">
        <f>IF(+I123*'Unit tariffs'!#REF!&gt;'Unit tariffs'!#REF!,'Unit tariffs'!#REF!,+I123*'Unit tariffs'!#REF!)</f>
        <v>#REF!</v>
      </c>
    </row>
    <row r="124" spans="1:10" ht="13.25" customHeight="1" x14ac:dyDescent="0.3">
      <c r="A124" s="91"/>
      <c r="B124" s="74">
        <v>1</v>
      </c>
      <c r="C124" s="815" t="s">
        <v>22</v>
      </c>
      <c r="D124" s="74"/>
      <c r="E124" s="74"/>
      <c r="F124" s="74"/>
      <c r="G124" s="74"/>
      <c r="H124" s="76">
        <v>912.00918708000017</v>
      </c>
      <c r="I124" s="76">
        <f>VLOOKUP($C124,'Unit tariffs'!$B$21:$F$123,5,FALSE)*$B124</f>
        <v>16.948995</v>
      </c>
      <c r="J124" s="457" t="e">
        <f>IF(+I124*'Unit tariffs'!#REF!&gt;'Unit tariffs'!#REF!,'Unit tariffs'!#REF!,+I124*'Unit tariffs'!#REF!)</f>
        <v>#REF!</v>
      </c>
    </row>
    <row r="125" spans="1:10" ht="13" x14ac:dyDescent="0.3">
      <c r="A125" s="91"/>
      <c r="B125" s="74">
        <v>2</v>
      </c>
      <c r="C125" s="817" t="s">
        <v>472</v>
      </c>
      <c r="D125" s="74"/>
      <c r="E125" s="74"/>
      <c r="F125" s="74"/>
      <c r="G125" s="74"/>
      <c r="H125" s="76">
        <v>271.44100000000003</v>
      </c>
      <c r="I125" s="76">
        <f>VLOOKUP($C125,'Unit tariffs'!$B$21:$F$123,5,FALSE)*$B125</f>
        <v>3370.1833631199997</v>
      </c>
      <c r="J125" s="457" t="e">
        <f>IF(+I125*'Unit tariffs'!#REF!&gt;'Unit tariffs'!#REF!,'Unit tariffs'!#REF!,+I125*'Unit tariffs'!#REF!)</f>
        <v>#REF!</v>
      </c>
    </row>
    <row r="126" spans="1:10" ht="13" x14ac:dyDescent="0.3">
      <c r="A126" s="91"/>
      <c r="B126" s="74">
        <v>2</v>
      </c>
      <c r="C126" s="815" t="s">
        <v>338</v>
      </c>
      <c r="D126" s="74"/>
      <c r="E126" s="74"/>
      <c r="F126" s="74"/>
      <c r="G126" s="74"/>
      <c r="H126" s="81">
        <v>377.84587199999999</v>
      </c>
      <c r="I126" s="81">
        <f>VLOOKUP($C126,'Unit tariffs'!$B$21:$F$123,5,FALSE)*$B126</f>
        <v>60.903388699999994</v>
      </c>
      <c r="J126" s="457" t="e">
        <f>IF(+I126*'Unit tariffs'!#REF!&gt;'Unit tariffs'!#REF!,'Unit tariffs'!#REF!,+I126*'Unit tariffs'!#REF!)</f>
        <v>#REF!</v>
      </c>
    </row>
    <row r="127" spans="1:10" ht="13" x14ac:dyDescent="0.3">
      <c r="A127" s="91"/>
      <c r="B127" s="74"/>
      <c r="C127" s="74"/>
      <c r="D127" s="74"/>
      <c r="E127" s="74"/>
      <c r="F127" s="74"/>
      <c r="G127" s="76"/>
      <c r="H127" s="76">
        <v>15315.699020026292</v>
      </c>
      <c r="I127" s="76">
        <f>SUM(I119:I126)</f>
        <v>8122.2521865799981</v>
      </c>
      <c r="J127" s="105"/>
    </row>
    <row r="128" spans="1:10" ht="13" x14ac:dyDescent="0.3">
      <c r="A128" s="91"/>
      <c r="B128" s="104" t="s">
        <v>337</v>
      </c>
      <c r="C128" s="74"/>
      <c r="D128" s="74"/>
      <c r="E128" s="74"/>
      <c r="F128" s="74"/>
      <c r="G128" s="74"/>
      <c r="H128" s="74"/>
      <c r="I128" s="74"/>
      <c r="J128" s="105"/>
    </row>
    <row r="129" spans="1:10" ht="13" x14ac:dyDescent="0.3">
      <c r="A129" s="91"/>
      <c r="B129" s="74">
        <v>1</v>
      </c>
      <c r="C129" s="74" t="str">
        <f>'Unit tariffs'!B$87</f>
        <v xml:space="preserve">hour-artisan </v>
      </c>
      <c r="D129" s="74"/>
      <c r="E129" s="74"/>
      <c r="F129" s="74"/>
      <c r="G129" s="74"/>
      <c r="H129" s="76">
        <v>322.85223173076923</v>
      </c>
      <c r="I129" s="76">
        <f>VLOOKUP($C129,'Unit tariffs'!$B$21:$F$123,5,FALSE)*$B129</f>
        <v>351.19276615384621</v>
      </c>
      <c r="J129" s="105"/>
    </row>
    <row r="130" spans="1:10" ht="13" x14ac:dyDescent="0.3">
      <c r="A130" s="91"/>
      <c r="B130" s="74">
        <v>2</v>
      </c>
      <c r="C130" s="74" t="str">
        <f>'Unit tariffs'!B$85</f>
        <v>hour-artisan assistant</v>
      </c>
      <c r="D130" s="74"/>
      <c r="E130" s="74"/>
      <c r="F130" s="74"/>
      <c r="G130" s="74"/>
      <c r="H130" s="81">
        <v>257.07161538461543</v>
      </c>
      <c r="I130" s="81">
        <f>VLOOKUP($C130,'Unit tariffs'!$B$21:$F$123,5,FALSE)*$B130</f>
        <v>279.64851692307695</v>
      </c>
      <c r="J130" s="95"/>
    </row>
    <row r="131" spans="1:10" ht="13" x14ac:dyDescent="0.3">
      <c r="A131" s="91"/>
      <c r="H131" s="76">
        <v>579.92384711538466</v>
      </c>
      <c r="I131" s="76">
        <f>SUM(I129:I130)</f>
        <v>630.84128307692322</v>
      </c>
      <c r="J131" s="95"/>
    </row>
    <row r="132" spans="1:10" ht="13" x14ac:dyDescent="0.3">
      <c r="A132" s="91"/>
      <c r="B132" s="104" t="s">
        <v>336</v>
      </c>
      <c r="C132" s="74"/>
      <c r="D132" s="74"/>
      <c r="E132" s="74"/>
      <c r="F132" s="74"/>
      <c r="G132" s="74"/>
      <c r="H132" s="74"/>
      <c r="I132" s="74"/>
      <c r="J132" s="95"/>
    </row>
    <row r="133" spans="1:10" ht="13" x14ac:dyDescent="0.3">
      <c r="A133" s="91"/>
      <c r="B133" s="74">
        <v>2</v>
      </c>
      <c r="C133" s="74" t="str">
        <f>'Unit tariffs'!B$87</f>
        <v xml:space="preserve">hour-artisan </v>
      </c>
      <c r="D133" s="74"/>
      <c r="E133" s="74"/>
      <c r="F133" s="74"/>
      <c r="G133" s="74"/>
      <c r="H133" s="76">
        <v>645.70446346153847</v>
      </c>
      <c r="I133" s="76">
        <f>VLOOKUP($C133,'Unit tariffs'!$B$21:$F$123,5,FALSE)*$B133</f>
        <v>702.38553230769242</v>
      </c>
      <c r="J133" s="105"/>
    </row>
    <row r="134" spans="1:10" ht="13" x14ac:dyDescent="0.3">
      <c r="A134" s="91"/>
      <c r="B134" s="74">
        <v>4</v>
      </c>
      <c r="C134" s="74" t="str">
        <f>'Unit tariffs'!B$85</f>
        <v>hour-artisan assistant</v>
      </c>
      <c r="D134" s="74"/>
      <c r="E134" s="74"/>
      <c r="F134" s="74"/>
      <c r="G134" s="74"/>
      <c r="H134" s="81">
        <v>514.14323076923085</v>
      </c>
      <c r="I134" s="81">
        <f>VLOOKUP($C134,'Unit tariffs'!$B$21:$F$123,5,FALSE)*$B134</f>
        <v>559.29703384615391</v>
      </c>
      <c r="J134" s="105"/>
    </row>
    <row r="135" spans="1:10" ht="13" x14ac:dyDescent="0.3">
      <c r="A135" s="91"/>
      <c r="B135" s="74"/>
      <c r="C135" s="74"/>
      <c r="D135" s="74"/>
      <c r="E135" s="74"/>
      <c r="F135" s="74"/>
      <c r="G135" s="74"/>
      <c r="H135" s="76">
        <v>1159.8476942307693</v>
      </c>
      <c r="I135" s="76">
        <f>SUM(I133:I134)</f>
        <v>1261.6825661538464</v>
      </c>
      <c r="J135" s="105"/>
    </row>
    <row r="136" spans="1:10" ht="13" x14ac:dyDescent="0.3">
      <c r="A136" s="91"/>
      <c r="B136" s="74"/>
      <c r="C136" s="74"/>
      <c r="D136" s="74"/>
      <c r="E136" s="74"/>
      <c r="F136" s="74"/>
      <c r="G136" s="74"/>
      <c r="H136" s="76"/>
      <c r="I136" s="76"/>
      <c r="J136" s="95"/>
    </row>
    <row r="137" spans="1:10" ht="13" x14ac:dyDescent="0.3">
      <c r="A137" s="91"/>
      <c r="B137" s="104" t="s">
        <v>335</v>
      </c>
      <c r="C137" s="74"/>
      <c r="D137" s="74"/>
      <c r="E137" s="74"/>
      <c r="F137" s="74"/>
      <c r="G137" s="74"/>
      <c r="H137" s="74"/>
      <c r="I137" s="74"/>
      <c r="J137" s="95"/>
    </row>
    <row r="138" spans="1:10" ht="13" x14ac:dyDescent="0.3">
      <c r="A138" s="91"/>
      <c r="B138" s="74">
        <v>24</v>
      </c>
      <c r="C138" s="74" t="str">
        <f>'Unit tariffs'!B$111</f>
        <v>km-truck with platform</v>
      </c>
      <c r="D138" s="74"/>
      <c r="E138" s="74"/>
      <c r="F138" s="74"/>
      <c r="G138" s="74"/>
      <c r="H138" s="76">
        <v>1010.8920834182238</v>
      </c>
      <c r="I138" s="76">
        <f>VLOOKUP($C138,'Unit tariffs'!$B$21:$F$123,5,FALSE)*$B138</f>
        <v>1182.7997218118533</v>
      </c>
      <c r="J138" s="105"/>
    </row>
    <row r="139" spans="1:10" ht="13" x14ac:dyDescent="0.3">
      <c r="A139" s="91"/>
      <c r="B139" s="74">
        <f>+B133</f>
        <v>2</v>
      </c>
      <c r="C139" s="74" t="str">
        <f>'Unit tariffs'!B$112</f>
        <v>hour-truck with platform</v>
      </c>
      <c r="D139" s="74"/>
      <c r="E139" s="74"/>
      <c r="F139" s="74"/>
      <c r="G139" s="74"/>
      <c r="H139" s="81">
        <v>409.96883462334625</v>
      </c>
      <c r="I139" s="81">
        <f>VLOOKUP($C139,'Unit tariffs'!$B$21:$F$123,5,FALSE)*$B139</f>
        <v>479.6862409925584</v>
      </c>
      <c r="J139" s="105"/>
    </row>
    <row r="140" spans="1:10" ht="13" x14ac:dyDescent="0.3">
      <c r="A140" s="91"/>
      <c r="B140" s="74"/>
      <c r="C140" s="74"/>
      <c r="D140" s="74"/>
      <c r="E140" s="74"/>
      <c r="F140" s="74"/>
      <c r="G140" s="74"/>
      <c r="H140" s="137">
        <v>1420.8609180415701</v>
      </c>
      <c r="I140" s="137">
        <f>SUM(I138:I139)</f>
        <v>1662.4859628044117</v>
      </c>
      <c r="J140" s="105"/>
    </row>
    <row r="141" spans="1:10" ht="13" x14ac:dyDescent="0.3">
      <c r="A141" s="91"/>
      <c r="B141" s="104" t="s">
        <v>334</v>
      </c>
      <c r="C141" s="74"/>
      <c r="D141" s="74"/>
      <c r="E141" s="74"/>
      <c r="F141" s="74"/>
      <c r="G141" s="74"/>
      <c r="H141" s="76"/>
      <c r="I141" s="76"/>
      <c r="J141" s="105"/>
    </row>
    <row r="142" spans="1:10" ht="13" x14ac:dyDescent="0.3">
      <c r="A142" s="91"/>
      <c r="B142" s="104"/>
      <c r="C142" s="74"/>
      <c r="D142" s="74"/>
      <c r="E142" s="74"/>
      <c r="F142" s="74"/>
      <c r="G142" s="74"/>
      <c r="H142" s="76"/>
      <c r="I142" s="76"/>
      <c r="J142" s="105"/>
    </row>
    <row r="143" spans="1:10" s="709" customFormat="1" ht="13" x14ac:dyDescent="0.3">
      <c r="A143" s="714"/>
      <c r="B143" s="815">
        <v>1</v>
      </c>
      <c r="C143" s="815" t="str">
        <f>'Unit tariffs'!B98</f>
        <v>m trench 0.6 m deep, Dig &amp; Backfill (Internal)</v>
      </c>
      <c r="D143" s="74"/>
      <c r="E143" s="74"/>
      <c r="F143" s="74"/>
      <c r="G143" s="74"/>
      <c r="H143" s="76">
        <v>3947.0446430769234</v>
      </c>
      <c r="I143" s="76">
        <f>VLOOKUP($C143,'Unit tariffs'!$B$21:$F$123,5,FALSE)*$B143</f>
        <v>362.18356984615389</v>
      </c>
      <c r="J143" s="744"/>
    </row>
    <row r="144" spans="1:10" s="709" customFormat="1" ht="13" x14ac:dyDescent="0.3">
      <c r="A144" s="714"/>
      <c r="B144" s="815">
        <v>1</v>
      </c>
      <c r="C144" s="815" t="str">
        <f>'Unit tariffs'!B99</f>
        <v>m Additional rock per sqm (Internal)</v>
      </c>
      <c r="D144" s="74"/>
      <c r="E144" s="74"/>
      <c r="F144" s="74"/>
      <c r="G144" s="74"/>
      <c r="H144" s="76">
        <v>5782.8653723076932</v>
      </c>
      <c r="I144" s="76">
        <f>VLOOKUP($C144,'Unit tariffs'!$B$21:$F$123,5,FALSE)*$B144</f>
        <v>2142.709909846154</v>
      </c>
      <c r="J144" s="744"/>
    </row>
    <row r="145" spans="1:11" ht="13" x14ac:dyDescent="0.3">
      <c r="A145" s="91"/>
      <c r="B145" s="74"/>
      <c r="C145" s="74"/>
      <c r="D145" s="74"/>
      <c r="E145" s="74"/>
      <c r="F145" s="74"/>
      <c r="G145" s="76"/>
      <c r="H145" s="137">
        <v>9729.9100153846157</v>
      </c>
      <c r="I145" s="137">
        <f>SUM(I143:I144)</f>
        <v>2504.8934796923077</v>
      </c>
      <c r="J145" s="105"/>
    </row>
    <row r="146" spans="1:11" ht="13" x14ac:dyDescent="0.3">
      <c r="A146" s="91"/>
      <c r="B146" s="74"/>
      <c r="C146" s="74"/>
      <c r="D146" s="74"/>
      <c r="E146" s="74"/>
      <c r="F146" s="74"/>
      <c r="G146" s="76"/>
      <c r="H146" s="76"/>
      <c r="I146" s="76"/>
      <c r="J146" s="105"/>
    </row>
    <row r="147" spans="1:11" ht="13" x14ac:dyDescent="0.3">
      <c r="A147" s="91"/>
      <c r="B147" s="74"/>
      <c r="C147" s="74"/>
      <c r="D147" s="74"/>
      <c r="E147" s="74"/>
      <c r="F147" s="74"/>
      <c r="G147" s="76"/>
      <c r="H147" s="76"/>
      <c r="I147" s="76"/>
      <c r="J147" s="105"/>
    </row>
    <row r="148" spans="1:11" ht="13" x14ac:dyDescent="0.3">
      <c r="A148" s="91"/>
      <c r="B148" s="74"/>
      <c r="C148" s="74"/>
      <c r="D148" s="74"/>
      <c r="E148" s="74"/>
      <c r="F148" s="74"/>
      <c r="G148" s="76"/>
      <c r="H148" s="76">
        <v>28206.241494798633</v>
      </c>
      <c r="I148" s="76">
        <f>I145+I140+I135+I131+I127</f>
        <v>14182.155478307486</v>
      </c>
      <c r="J148" s="105"/>
    </row>
    <row r="149" spans="1:11" ht="13.5" thickBot="1" x14ac:dyDescent="0.35">
      <c r="A149" s="91"/>
      <c r="B149" s="104" t="str">
        <f>'Unit tariffs'!$B$7</f>
        <v>Administration Levy (Indirect Cost)</v>
      </c>
      <c r="C149" s="74"/>
      <c r="D149" s="106">
        <f>'Unit tariffs'!$C$7</f>
        <v>0.1</v>
      </c>
      <c r="E149" s="74" t="s">
        <v>311</v>
      </c>
      <c r="F149" s="186">
        <f>+'Unit tariffs'!$F$7</f>
        <v>10000</v>
      </c>
      <c r="G149" s="76"/>
      <c r="H149" s="108">
        <v>972.99100153846166</v>
      </c>
      <c r="I149" s="108">
        <f>IF(I145*$D149&gt;='Unit tariffs'!$E$7,'Unit tariffs'!$E$7,I145*$D149)</f>
        <v>250.48934796923078</v>
      </c>
      <c r="J149" s="95"/>
    </row>
    <row r="150" spans="1:11" ht="13.5" thickTop="1" x14ac:dyDescent="0.3">
      <c r="A150" s="91"/>
      <c r="B150" s="104" t="s">
        <v>44</v>
      </c>
      <c r="C150" s="74"/>
      <c r="D150" s="74"/>
      <c r="E150" s="74"/>
      <c r="F150" s="74"/>
      <c r="G150" s="76"/>
      <c r="H150" s="109">
        <v>38909.142511721708</v>
      </c>
      <c r="I150" s="109">
        <f>SUM(I145:I149)</f>
        <v>16937.538305969025</v>
      </c>
      <c r="J150" s="110"/>
    </row>
    <row r="151" spans="1:11" ht="13" x14ac:dyDescent="0.3">
      <c r="A151" s="91"/>
      <c r="B151" s="104"/>
      <c r="C151" s="74"/>
      <c r="D151" s="74"/>
      <c r="E151" s="74"/>
      <c r="F151" s="74"/>
      <c r="G151" s="76"/>
      <c r="H151" s="76"/>
      <c r="I151" s="76"/>
      <c r="J151" s="110"/>
    </row>
    <row r="152" spans="1:11" ht="13" x14ac:dyDescent="0.3">
      <c r="A152" s="91"/>
      <c r="B152" s="74"/>
      <c r="C152" s="74"/>
      <c r="D152" s="74"/>
      <c r="E152" s="74"/>
      <c r="F152" s="74"/>
      <c r="G152" s="74"/>
      <c r="H152" s="648">
        <v>38910</v>
      </c>
      <c r="I152" s="648">
        <f>ROUND(I150,-1)</f>
        <v>16940</v>
      </c>
      <c r="J152" s="105"/>
      <c r="K152" s="111"/>
    </row>
    <row r="153" spans="1:11" ht="13" x14ac:dyDescent="0.3">
      <c r="A153" s="91"/>
      <c r="B153" s="74"/>
      <c r="C153" s="74"/>
      <c r="D153" s="74"/>
      <c r="E153" s="74"/>
      <c r="F153" s="74"/>
      <c r="G153" s="74"/>
      <c r="H153" s="112">
        <v>0</v>
      </c>
      <c r="I153" s="112">
        <f>+(I152-H152)/H152</f>
        <v>-0.56463634027242349</v>
      </c>
      <c r="J153" s="113"/>
    </row>
    <row r="154" spans="1:11" ht="13" x14ac:dyDescent="0.3">
      <c r="A154" s="91"/>
      <c r="B154" s="342"/>
      <c r="C154" s="342"/>
      <c r="D154" s="342"/>
      <c r="E154" s="342"/>
      <c r="F154" s="342"/>
      <c r="G154" s="342"/>
      <c r="H154" s="112"/>
      <c r="I154" s="112"/>
      <c r="J154" s="95"/>
    </row>
    <row r="155" spans="1:11" ht="38.4" customHeight="1" x14ac:dyDescent="0.3">
      <c r="A155" s="91"/>
      <c r="B155" s="833" t="s">
        <v>732</v>
      </c>
      <c r="C155" s="834"/>
      <c r="D155" s="834"/>
      <c r="E155" s="834"/>
      <c r="F155" s="834"/>
      <c r="G155" s="835"/>
      <c r="H155" s="76"/>
      <c r="I155" s="76"/>
      <c r="J155" s="95"/>
    </row>
    <row r="156" spans="1:11" ht="13" x14ac:dyDescent="0.3">
      <c r="A156" s="91"/>
      <c r="B156" s="74"/>
      <c r="C156" s="74"/>
      <c r="D156" s="74"/>
      <c r="E156" s="74"/>
      <c r="F156" s="74"/>
      <c r="G156" s="74"/>
      <c r="H156" s="103" t="str">
        <f>+'Unit tariffs'!$E$11</f>
        <v>2025/2026</v>
      </c>
      <c r="I156" s="103" t="str">
        <f>+'Unit tariffs'!$F$11</f>
        <v>2026/2027</v>
      </c>
      <c r="J156" s="95"/>
    </row>
    <row r="157" spans="1:11" ht="13" x14ac:dyDescent="0.3">
      <c r="A157" s="91"/>
      <c r="B157" s="104" t="s">
        <v>535</v>
      </c>
      <c r="C157" s="74"/>
      <c r="D157" s="74"/>
      <c r="E157" s="74"/>
      <c r="F157" s="74"/>
      <c r="G157" s="74"/>
      <c r="H157" s="74"/>
      <c r="I157" s="74"/>
      <c r="J157" s="95"/>
    </row>
    <row r="158" spans="1:11" ht="33" customHeight="1" x14ac:dyDescent="0.3">
      <c r="A158" s="91"/>
      <c r="B158" s="74"/>
      <c r="C158" s="74"/>
      <c r="D158" s="74"/>
      <c r="E158" s="74"/>
      <c r="F158" s="74"/>
      <c r="G158" s="74"/>
      <c r="H158" s="74"/>
      <c r="I158" s="74"/>
      <c r="J158" s="444" t="s">
        <v>313</v>
      </c>
    </row>
    <row r="159" spans="1:11" ht="13" x14ac:dyDescent="0.3">
      <c r="A159" s="91"/>
      <c r="B159" s="74">
        <v>0.1</v>
      </c>
      <c r="C159" s="74" t="s">
        <v>9</v>
      </c>
      <c r="D159" s="74"/>
      <c r="E159" s="74"/>
      <c r="F159" s="74"/>
      <c r="G159" s="74"/>
      <c r="H159" s="76">
        <v>4047.0136257390277</v>
      </c>
      <c r="I159" s="76">
        <f>VLOOKUP($C159,'Unit tariffs'!$B$21:$F$123,5,FALSE)*$B159</f>
        <v>717.25886974000002</v>
      </c>
      <c r="J159" s="457" t="e">
        <f>IF(+I159*'Unit tariffs'!#REF!&gt;'Unit tariffs'!#REF!,'Unit tariffs'!#REF!,+I159*'Unit tariffs'!#REF!)</f>
        <v>#REF!</v>
      </c>
    </row>
    <row r="160" spans="1:11" ht="13" x14ac:dyDescent="0.3">
      <c r="A160" s="91"/>
      <c r="B160" s="74">
        <v>0.5</v>
      </c>
      <c r="C160" s="74" t="s">
        <v>229</v>
      </c>
      <c r="D160" s="74"/>
      <c r="E160" s="74"/>
      <c r="F160" s="74"/>
      <c r="G160" s="74"/>
      <c r="H160" s="76">
        <v>7323.5537155157153</v>
      </c>
      <c r="I160" s="76">
        <f>VLOOKUP($C160,'Unit tariffs'!$B$21:$F$123,5,FALSE)*$B160</f>
        <v>0</v>
      </c>
      <c r="J160" s="457" t="e">
        <f>IF(+I160*'Unit tariffs'!#REF!&gt;'Unit tariffs'!#REF!,'Unit tariffs'!#REF!,+I160*'Unit tariffs'!#REF!)</f>
        <v>#REF!</v>
      </c>
    </row>
    <row r="161" spans="1:10" ht="13" x14ac:dyDescent="0.3">
      <c r="A161" s="91"/>
      <c r="B161" s="74">
        <v>3</v>
      </c>
      <c r="C161" s="74" t="s">
        <v>99</v>
      </c>
      <c r="D161" s="74"/>
      <c r="E161" s="74"/>
      <c r="F161" s="74"/>
      <c r="G161" s="74"/>
      <c r="H161" s="76">
        <v>587.413658244972</v>
      </c>
      <c r="I161" s="76">
        <f>VLOOKUP($C161,'Unit tariffs'!$B$21:$F$123,5,FALSE)*$B161</f>
        <v>0</v>
      </c>
      <c r="J161" s="457" t="e">
        <f>IF(+I161*'Unit tariffs'!#REF!&gt;'Unit tariffs'!#REF!,'Unit tariffs'!#REF!,+I161*'Unit tariffs'!#REF!)</f>
        <v>#REF!</v>
      </c>
    </row>
    <row r="162" spans="1:10" ht="13" x14ac:dyDescent="0.3">
      <c r="A162" s="91"/>
      <c r="B162" s="74">
        <v>12</v>
      </c>
      <c r="C162" s="74" t="s">
        <v>11</v>
      </c>
      <c r="D162" s="74"/>
      <c r="E162" s="74"/>
      <c r="F162" s="74"/>
      <c r="G162" s="74"/>
      <c r="H162" s="76">
        <v>1061.1692386456032</v>
      </c>
      <c r="I162" s="76">
        <f>VLOOKUP($C162,'Unit tariffs'!$B$21:$F$123,5,FALSE)*$B162</f>
        <v>4978.9367711999994</v>
      </c>
      <c r="J162" s="457" t="e">
        <f>IF(+I162*'Unit tariffs'!#REF!&gt;'Unit tariffs'!#REF!,'Unit tariffs'!#REF!,+I162*'Unit tariffs'!#REF!)</f>
        <v>#REF!</v>
      </c>
    </row>
    <row r="163" spans="1:10" ht="13" x14ac:dyDescent="0.3">
      <c r="A163" s="91"/>
      <c r="B163" s="74">
        <v>8</v>
      </c>
      <c r="C163" s="3" t="s">
        <v>454</v>
      </c>
      <c r="D163" s="74"/>
      <c r="E163" s="74"/>
      <c r="F163" s="74"/>
      <c r="G163" s="74"/>
      <c r="H163" s="76">
        <v>27.806563703904001</v>
      </c>
      <c r="I163" s="76">
        <f>VLOOKUP($C163,'Unit tariffs'!$B$21:$F$123,5,FALSE)*$B163</f>
        <v>2530.9595253599996</v>
      </c>
      <c r="J163" s="457" t="e">
        <f>IF(+I163*'Unit tariffs'!#REF!&gt;'Unit tariffs'!#REF!,'Unit tariffs'!#REF!,+I163*'Unit tariffs'!#REF!)</f>
        <v>#REF!</v>
      </c>
    </row>
    <row r="164" spans="1:10" ht="13" x14ac:dyDescent="0.3">
      <c r="A164" s="91"/>
      <c r="B164" s="74">
        <v>3</v>
      </c>
      <c r="C164" s="3" t="s">
        <v>453</v>
      </c>
      <c r="D164" s="74"/>
      <c r="E164" s="74"/>
      <c r="F164" s="74"/>
      <c r="G164" s="74"/>
      <c r="H164" s="76">
        <v>912.00918708000017</v>
      </c>
      <c r="I164" s="76">
        <f>VLOOKUP($C164,'Unit tariffs'!$B$21:$F$123,5,FALSE)*$B164</f>
        <v>106.27019865</v>
      </c>
      <c r="J164" s="457" t="e">
        <f>IF(+I164*'Unit tariffs'!#REF!&gt;'Unit tariffs'!#REF!,'Unit tariffs'!#REF!,+I164*'Unit tariffs'!#REF!)</f>
        <v>#REF!</v>
      </c>
    </row>
    <row r="165" spans="1:10" ht="13" x14ac:dyDescent="0.3">
      <c r="A165" s="91"/>
      <c r="B165" s="74">
        <v>1</v>
      </c>
      <c r="C165" s="74" t="s">
        <v>17</v>
      </c>
      <c r="D165" s="74"/>
      <c r="E165" s="74"/>
      <c r="F165" s="74"/>
      <c r="G165" s="74"/>
      <c r="H165" s="76">
        <v>271.44100000000003</v>
      </c>
      <c r="I165" s="76">
        <f>VLOOKUP($C165,'Unit tariffs'!$B$21:$F$123,5,FALSE)*$B165</f>
        <v>282.48325</v>
      </c>
      <c r="J165" s="457" t="e">
        <f>IF(+I165*'Unit tariffs'!#REF!&gt;'Unit tariffs'!#REF!,'Unit tariffs'!#REF!,+I165*'Unit tariffs'!#REF!)</f>
        <v>#REF!</v>
      </c>
    </row>
    <row r="166" spans="1:10" ht="13" x14ac:dyDescent="0.3">
      <c r="A166" s="91"/>
      <c r="B166" s="74">
        <v>2</v>
      </c>
      <c r="C166" s="74" t="s">
        <v>189</v>
      </c>
      <c r="D166" s="74"/>
      <c r="E166" s="74"/>
      <c r="F166" s="74"/>
      <c r="G166" s="74"/>
      <c r="H166" s="81">
        <v>377.84587199999999</v>
      </c>
      <c r="I166" s="81">
        <f>VLOOKUP($C166,'Unit tariffs'!$B$21:$F$123,5,FALSE)*$B166</f>
        <v>0</v>
      </c>
      <c r="J166" s="457" t="e">
        <f>IF(+I166*'Unit tariffs'!#REF!&gt;'Unit tariffs'!#REF!,'Unit tariffs'!#REF!,+I166*'Unit tariffs'!#REF!)</f>
        <v>#REF!</v>
      </c>
    </row>
    <row r="167" spans="1:10" ht="13" x14ac:dyDescent="0.3">
      <c r="A167" s="91"/>
      <c r="B167" s="74"/>
      <c r="C167" s="74"/>
      <c r="D167" s="74"/>
      <c r="E167" s="74"/>
      <c r="F167" s="74"/>
      <c r="G167" s="76"/>
      <c r="H167" s="76">
        <v>14608.252860929224</v>
      </c>
      <c r="I167" s="76">
        <f>SUM(I159:I166)</f>
        <v>8615.9086149499981</v>
      </c>
      <c r="J167" s="95"/>
    </row>
    <row r="168" spans="1:10" ht="13" x14ac:dyDescent="0.3">
      <c r="A168" s="91"/>
      <c r="B168" s="104" t="s">
        <v>59</v>
      </c>
      <c r="C168" s="74"/>
      <c r="D168" s="74"/>
      <c r="E168" s="74"/>
      <c r="F168" s="74"/>
      <c r="G168" s="74"/>
      <c r="H168" s="74"/>
      <c r="I168" s="74"/>
      <c r="J168" s="105"/>
    </row>
    <row r="169" spans="1:10" ht="13" x14ac:dyDescent="0.3">
      <c r="A169" s="91"/>
      <c r="B169" s="74">
        <v>1</v>
      </c>
      <c r="C169" s="74" t="str">
        <f>'Unit tariffs'!B$87</f>
        <v xml:space="preserve">hour-artisan </v>
      </c>
      <c r="D169" s="74"/>
      <c r="E169" s="74"/>
      <c r="F169" s="74"/>
      <c r="G169" s="74"/>
      <c r="H169" s="76">
        <v>322.85223173076923</v>
      </c>
      <c r="I169" s="76">
        <f>VLOOKUP($C169,'Unit tariffs'!$B$21:$F$123,5,FALSE)*$B169</f>
        <v>351.19276615384621</v>
      </c>
      <c r="J169" s="105"/>
    </row>
    <row r="170" spans="1:10" ht="13" x14ac:dyDescent="0.3">
      <c r="A170" s="91"/>
      <c r="B170" s="74">
        <v>2</v>
      </c>
      <c r="C170" s="74" t="str">
        <f>'Unit tariffs'!B$85</f>
        <v>hour-artisan assistant</v>
      </c>
      <c r="D170" s="74"/>
      <c r="E170" s="74"/>
      <c r="F170" s="74"/>
      <c r="G170" s="74"/>
      <c r="H170" s="81">
        <v>257.07161538461543</v>
      </c>
      <c r="I170" s="81">
        <f>VLOOKUP($C170,'Unit tariffs'!$B$21:$F$123,5,FALSE)*$B170</f>
        <v>279.64851692307695</v>
      </c>
      <c r="J170" s="105"/>
    </row>
    <row r="171" spans="1:10" ht="13" x14ac:dyDescent="0.3">
      <c r="A171" s="91"/>
      <c r="H171" s="76">
        <v>579.92384711538466</v>
      </c>
      <c r="I171" s="76">
        <f>SUM(I169:I170)</f>
        <v>630.84128307692322</v>
      </c>
      <c r="J171" s="95"/>
    </row>
    <row r="172" spans="1:10" ht="13" x14ac:dyDescent="0.3">
      <c r="A172" s="91"/>
      <c r="B172" s="104" t="s">
        <v>60</v>
      </c>
      <c r="C172" s="74"/>
      <c r="D172" s="74"/>
      <c r="E172" s="74"/>
      <c r="F172" s="74"/>
      <c r="G172" s="74"/>
      <c r="H172" s="74"/>
      <c r="I172" s="74"/>
      <c r="J172" s="95"/>
    </row>
    <row r="173" spans="1:10" ht="13" x14ac:dyDescent="0.3">
      <c r="A173" s="91"/>
      <c r="B173" s="74">
        <v>2</v>
      </c>
      <c r="C173" s="74" t="str">
        <f>'Unit tariffs'!B$87</f>
        <v xml:space="preserve">hour-artisan </v>
      </c>
      <c r="D173" s="74"/>
      <c r="E173" s="74"/>
      <c r="F173" s="74"/>
      <c r="G173" s="74"/>
      <c r="H173" s="76">
        <v>645.70446346153847</v>
      </c>
      <c r="I173" s="76">
        <f>VLOOKUP($C173,'Unit tariffs'!$B$21:$F$123,5,FALSE)*$B173</f>
        <v>702.38553230769242</v>
      </c>
      <c r="J173" s="105"/>
    </row>
    <row r="174" spans="1:10" ht="13" x14ac:dyDescent="0.3">
      <c r="A174" s="91"/>
      <c r="B174" s="74">
        <v>4</v>
      </c>
      <c r="C174" s="74" t="str">
        <f>'Unit tariffs'!B$85</f>
        <v>hour-artisan assistant</v>
      </c>
      <c r="D174" s="74"/>
      <c r="E174" s="74"/>
      <c r="F174" s="74"/>
      <c r="G174" s="74"/>
      <c r="H174" s="81">
        <v>514.14323076923085</v>
      </c>
      <c r="I174" s="81">
        <f>VLOOKUP($C174,'Unit tariffs'!$B$21:$F$123,5,FALSE)*$B174</f>
        <v>559.29703384615391</v>
      </c>
      <c r="J174" s="105"/>
    </row>
    <row r="175" spans="1:10" ht="13" x14ac:dyDescent="0.3">
      <c r="A175" s="91"/>
      <c r="B175" s="74"/>
      <c r="C175" s="74"/>
      <c r="D175" s="74"/>
      <c r="E175" s="74"/>
      <c r="F175" s="74"/>
      <c r="G175" s="74"/>
      <c r="H175" s="76">
        <v>1159.8476942307693</v>
      </c>
      <c r="I175" s="76">
        <f>SUM(I173:I174)</f>
        <v>1261.6825661538464</v>
      </c>
      <c r="J175" s="105"/>
    </row>
    <row r="176" spans="1:10" ht="13" x14ac:dyDescent="0.3">
      <c r="A176" s="91"/>
      <c r="B176" s="74"/>
      <c r="C176" s="74"/>
      <c r="D176" s="74"/>
      <c r="E176" s="74"/>
      <c r="F176" s="74"/>
      <c r="G176" s="74"/>
      <c r="H176" s="76"/>
      <c r="I176" s="76"/>
      <c r="J176" s="105"/>
    </row>
    <row r="177" spans="1:11" ht="13" x14ac:dyDescent="0.3">
      <c r="A177" s="91"/>
      <c r="B177" s="104" t="s">
        <v>43</v>
      </c>
      <c r="C177" s="74"/>
      <c r="D177" s="74"/>
      <c r="E177" s="74"/>
      <c r="F177" s="74"/>
      <c r="G177" s="74"/>
      <c r="H177" s="74"/>
      <c r="I177" s="74"/>
      <c r="J177" s="105"/>
    </row>
    <row r="178" spans="1:11" ht="13" x14ac:dyDescent="0.3">
      <c r="A178" s="91"/>
      <c r="B178" s="74">
        <v>24</v>
      </c>
      <c r="C178" s="74" t="str">
        <f>'Unit tariffs'!B$111</f>
        <v>km-truck with platform</v>
      </c>
      <c r="D178" s="74"/>
      <c r="E178" s="74"/>
      <c r="F178" s="74"/>
      <c r="G178" s="74"/>
      <c r="H178" s="76">
        <v>1010.8920834182238</v>
      </c>
      <c r="I178" s="76">
        <f>VLOOKUP($C178,'Unit tariffs'!$B$21:$F$123,5,FALSE)*$B178</f>
        <v>1182.7997218118533</v>
      </c>
      <c r="J178" s="105"/>
    </row>
    <row r="179" spans="1:11" ht="13" x14ac:dyDescent="0.3">
      <c r="A179" s="91"/>
      <c r="B179" s="74">
        <f>+B173</f>
        <v>2</v>
      </c>
      <c r="C179" s="74" t="str">
        <f>'Unit tariffs'!B$112</f>
        <v>hour-truck with platform</v>
      </c>
      <c r="D179" s="74"/>
      <c r="E179" s="74"/>
      <c r="F179" s="74"/>
      <c r="G179" s="74"/>
      <c r="H179" s="81">
        <v>409.96883462334625</v>
      </c>
      <c r="I179" s="81">
        <f>VLOOKUP($C179,'Unit tariffs'!$B$21:$F$123,5,FALSE)*$B179</f>
        <v>479.6862409925584</v>
      </c>
      <c r="J179" s="105"/>
    </row>
    <row r="180" spans="1:11" ht="13" x14ac:dyDescent="0.3">
      <c r="A180" s="91"/>
      <c r="B180" s="74"/>
      <c r="C180" s="74"/>
      <c r="D180" s="74"/>
      <c r="E180" s="74"/>
      <c r="F180" s="74"/>
      <c r="G180" s="74"/>
      <c r="H180" s="649">
        <v>1420.8609180415701</v>
      </c>
      <c r="I180" s="649">
        <f>SUM(I178:I179)</f>
        <v>1662.4859628044117</v>
      </c>
      <c r="J180" s="95"/>
    </row>
    <row r="181" spans="1:11" ht="13" x14ac:dyDescent="0.3">
      <c r="A181" s="91"/>
      <c r="B181" s="104" t="s">
        <v>333</v>
      </c>
      <c r="C181" s="74"/>
      <c r="D181" s="74"/>
      <c r="E181" s="74"/>
      <c r="F181" s="74"/>
      <c r="G181" s="74"/>
      <c r="H181" s="189"/>
      <c r="I181" s="189"/>
      <c r="J181" s="459"/>
    </row>
    <row r="182" spans="1:11" ht="13" x14ac:dyDescent="0.3">
      <c r="A182" s="91"/>
      <c r="B182" s="74"/>
      <c r="C182" s="74"/>
      <c r="D182" s="74"/>
      <c r="E182" s="74"/>
      <c r="F182" s="74"/>
      <c r="G182" s="74"/>
      <c r="H182" s="189"/>
      <c r="I182" s="189"/>
      <c r="J182" s="105"/>
    </row>
    <row r="183" spans="1:11" ht="13" x14ac:dyDescent="0.3">
      <c r="A183" s="91"/>
      <c r="B183" s="74">
        <v>3</v>
      </c>
      <c r="C183" s="74" t="str">
        <f>'Unit tariffs'!B99</f>
        <v>m Additional rock per sqm (Internal)</v>
      </c>
      <c r="D183" s="74"/>
      <c r="E183" s="74"/>
      <c r="F183" s="74"/>
      <c r="G183" s="74"/>
      <c r="H183" s="76">
        <v>5782.8653723076932</v>
      </c>
      <c r="I183" s="76">
        <f>VLOOKUP($C183,'Unit tariffs'!B97:F99,5,FALSE)*$B183</f>
        <v>6428.129729538462</v>
      </c>
      <c r="J183" s="105"/>
    </row>
    <row r="184" spans="1:11" ht="13" x14ac:dyDescent="0.3">
      <c r="A184" s="91"/>
      <c r="B184" s="74">
        <v>12</v>
      </c>
      <c r="C184" s="74" t="str">
        <f>'Unit tariffs'!B98</f>
        <v>m trench 0.6 m deep, Dig &amp; Backfill (Internal)</v>
      </c>
      <c r="D184" s="74"/>
      <c r="E184" s="74"/>
      <c r="F184" s="74"/>
      <c r="G184" s="74"/>
      <c r="H184" s="76">
        <v>3947.0446430769234</v>
      </c>
      <c r="I184" s="76">
        <f>VLOOKUP($C184,'Unit tariffs'!B98:F100,5,FALSE)*$B184</f>
        <v>4346.2028381538466</v>
      </c>
      <c r="J184" s="113"/>
    </row>
    <row r="185" spans="1:11" ht="13" x14ac:dyDescent="0.3">
      <c r="A185" s="91"/>
      <c r="B185" s="74"/>
      <c r="C185" s="74"/>
      <c r="D185" s="74"/>
      <c r="E185" s="74"/>
      <c r="F185" s="74"/>
      <c r="G185" s="76" t="s">
        <v>44</v>
      </c>
      <c r="H185" s="649">
        <v>9729.9100153846157</v>
      </c>
      <c r="I185" s="649">
        <f>SUM(I183:I184)</f>
        <v>10774.332567692309</v>
      </c>
      <c r="J185" s="95"/>
    </row>
    <row r="186" spans="1:11" ht="13" x14ac:dyDescent="0.3">
      <c r="A186" s="91"/>
      <c r="J186" s="95"/>
    </row>
    <row r="187" spans="1:11" ht="13" x14ac:dyDescent="0.3">
      <c r="A187" s="91"/>
      <c r="B187" s="74"/>
      <c r="C187" s="74"/>
      <c r="D187" s="74"/>
      <c r="E187" s="74"/>
      <c r="F187" s="74"/>
      <c r="G187" s="76"/>
      <c r="H187" s="189">
        <v>27498.795335701565</v>
      </c>
      <c r="I187" s="189">
        <f>I185+I180+I175+I171+I167</f>
        <v>22945.250994677488</v>
      </c>
      <c r="J187" s="95"/>
    </row>
    <row r="188" spans="1:11" ht="13.5" thickBot="1" x14ac:dyDescent="0.35">
      <c r="A188" s="91"/>
      <c r="B188" s="104" t="str">
        <f>'Unit tariffs'!$B$7</f>
        <v>Administration Levy (Indirect Cost)</v>
      </c>
      <c r="C188" s="74"/>
      <c r="D188" s="106">
        <f>'Unit tariffs'!$C$7</f>
        <v>0.1</v>
      </c>
      <c r="E188" s="74" t="s">
        <v>311</v>
      </c>
      <c r="F188" s="186">
        <f>+'Unit tariffs'!$F$7</f>
        <v>10000</v>
      </c>
      <c r="G188" s="76"/>
      <c r="H188" s="343">
        <v>972.99100153846166</v>
      </c>
      <c r="I188" s="343">
        <f>IF(I185*$D188&gt;='Unit tariffs'!$E$7,'Unit tariffs'!$E$7,I185*$D188)</f>
        <v>1077.4332567692309</v>
      </c>
      <c r="J188" s="95"/>
      <c r="K188" s="111"/>
    </row>
    <row r="189" spans="1:11" ht="18" customHeight="1" thickTop="1" x14ac:dyDescent="0.3">
      <c r="A189" s="91"/>
      <c r="B189" s="104" t="s">
        <v>44</v>
      </c>
      <c r="C189" s="74"/>
      <c r="D189" s="74"/>
      <c r="E189" s="74"/>
      <c r="F189" s="74"/>
      <c r="G189" s="76"/>
      <c r="H189" s="76">
        <v>38201.69635262464</v>
      </c>
      <c r="I189" s="76">
        <f>SUM(I185:I188)</f>
        <v>34797.016819139026</v>
      </c>
      <c r="J189" s="95"/>
    </row>
    <row r="190" spans="1:11" ht="13" x14ac:dyDescent="0.3">
      <c r="A190" s="91"/>
      <c r="B190" s="74"/>
      <c r="C190" s="74"/>
      <c r="D190" s="74"/>
      <c r="E190" s="74"/>
      <c r="F190" s="74"/>
      <c r="G190" s="74"/>
      <c r="H190" s="74"/>
      <c r="I190" s="74"/>
      <c r="J190" s="444"/>
    </row>
    <row r="191" spans="1:11" ht="13" x14ac:dyDescent="0.3">
      <c r="A191" s="443"/>
      <c r="B191" s="74"/>
      <c r="C191" s="74"/>
      <c r="D191" s="74"/>
      <c r="E191" s="74"/>
      <c r="F191" s="74"/>
      <c r="G191" s="74"/>
      <c r="H191" s="84">
        <v>38200</v>
      </c>
      <c r="I191" s="84">
        <f>ROUND(I189,-1)</f>
        <v>34800</v>
      </c>
      <c r="J191" s="95"/>
    </row>
    <row r="192" spans="1:11" ht="13" x14ac:dyDescent="0.3">
      <c r="A192" s="74"/>
      <c r="B192" s="74"/>
      <c r="C192" s="74"/>
      <c r="D192" s="74"/>
      <c r="E192" s="74"/>
      <c r="F192" s="74"/>
      <c r="G192" s="74"/>
      <c r="H192" s="112" t="e">
        <v>#N/A</v>
      </c>
      <c r="I192" s="112">
        <f>+(I191-H191)/H191</f>
        <v>-8.9005235602094238E-2</v>
      </c>
      <c r="J192" s="450"/>
    </row>
    <row r="193" spans="1:10" ht="13.5" thickBot="1" x14ac:dyDescent="0.35">
      <c r="A193" s="448"/>
      <c r="B193" s="74"/>
      <c r="C193" s="74"/>
      <c r="D193" s="74"/>
      <c r="E193" s="74"/>
      <c r="F193" s="74"/>
      <c r="G193" s="74"/>
      <c r="H193" s="74"/>
      <c r="I193" s="74"/>
      <c r="J193" s="450"/>
    </row>
    <row r="194" spans="1:10" ht="13" thickTop="1" x14ac:dyDescent="0.25"/>
    <row r="226" ht="23.25" customHeight="1" x14ac:dyDescent="0.25"/>
    <row r="263" ht="19.5" customHeight="1" x14ac:dyDescent="0.25"/>
    <row r="298" ht="12" customHeight="1" x14ac:dyDescent="0.25"/>
    <row r="333" ht="21.75" customHeight="1" x14ac:dyDescent="0.25"/>
    <row r="369" ht="21.75" customHeight="1" x14ac:dyDescent="0.25"/>
    <row r="405" spans="1:17" s="709" customFormat="1" x14ac:dyDescent="0.25">
      <c r="A405" s="86"/>
      <c r="B405" s="86"/>
      <c r="C405" s="86"/>
      <c r="D405" s="86"/>
      <c r="E405" s="86"/>
      <c r="F405" s="86"/>
      <c r="G405" s="86"/>
      <c r="H405" s="86"/>
      <c r="I405" s="86"/>
      <c r="J405" s="86"/>
      <c r="K405" s="86"/>
      <c r="L405" s="86"/>
      <c r="M405" s="86"/>
      <c r="N405" s="86"/>
      <c r="O405" s="86"/>
      <c r="P405" s="86"/>
      <c r="Q405" s="86"/>
    </row>
    <row r="441" spans="1:17" ht="23.25" customHeight="1" x14ac:dyDescent="0.25"/>
    <row r="442" spans="1:17" s="709" customFormat="1" x14ac:dyDescent="0.25">
      <c r="A442" s="86"/>
      <c r="B442" s="86"/>
      <c r="C442" s="86"/>
      <c r="D442" s="86"/>
      <c r="E442" s="86"/>
      <c r="F442" s="86"/>
      <c r="G442" s="86"/>
      <c r="H442" s="86"/>
      <c r="I442" s="86"/>
      <c r="J442" s="86"/>
      <c r="K442" s="86"/>
      <c r="L442" s="86"/>
      <c r="M442" s="86"/>
      <c r="N442" s="86"/>
      <c r="O442" s="86"/>
      <c r="P442" s="86"/>
      <c r="Q442" s="86"/>
    </row>
    <row r="477" spans="1:17" ht="13.25" customHeight="1" x14ac:dyDescent="0.25"/>
    <row r="478" spans="1:17" s="709" customFormat="1" ht="13.25" customHeight="1" x14ac:dyDescent="0.25">
      <c r="A478" s="86"/>
      <c r="B478" s="86"/>
      <c r="C478" s="86"/>
      <c r="D478" s="86"/>
      <c r="E478" s="86"/>
      <c r="F478" s="86"/>
      <c r="G478" s="86"/>
      <c r="H478" s="86"/>
      <c r="I478" s="86"/>
      <c r="J478" s="86"/>
      <c r="K478" s="86"/>
      <c r="L478" s="86"/>
      <c r="M478" s="86"/>
      <c r="N478" s="86"/>
      <c r="O478" s="86"/>
      <c r="P478" s="86"/>
      <c r="Q478" s="86"/>
    </row>
    <row r="489" ht="21.75" customHeight="1" x14ac:dyDescent="0.25"/>
    <row r="515" spans="1:17" s="709" customFormat="1" x14ac:dyDescent="0.25">
      <c r="A515" s="86"/>
      <c r="B515" s="86"/>
      <c r="C515" s="86"/>
      <c r="D515" s="86"/>
      <c r="E515" s="86"/>
      <c r="F515" s="86"/>
      <c r="G515" s="86"/>
      <c r="H515" s="86"/>
      <c r="I515" s="86"/>
      <c r="J515" s="86"/>
      <c r="K515" s="86"/>
      <c r="L515" s="86"/>
      <c r="M515" s="86"/>
      <c r="N515" s="86"/>
      <c r="O515" s="86"/>
      <c r="P515" s="86"/>
      <c r="Q515" s="86"/>
    </row>
    <row r="521" spans="1:17" ht="13.25" customHeight="1" x14ac:dyDescent="0.25"/>
    <row r="523" spans="1:17" ht="15" customHeight="1" x14ac:dyDescent="0.25"/>
    <row r="587" ht="13.25" customHeight="1" x14ac:dyDescent="0.25"/>
    <row r="589" ht="13.25" customHeight="1" x14ac:dyDescent="0.25"/>
    <row r="594" ht="45.75" customHeight="1" x14ac:dyDescent="0.25"/>
    <row r="627" ht="39" customHeight="1" x14ac:dyDescent="0.25"/>
    <row r="701" ht="27.75" customHeight="1" x14ac:dyDescent="0.25"/>
    <row r="710" ht="17.399999999999999" customHeight="1" x14ac:dyDescent="0.25"/>
    <row r="711" ht="17.399999999999999" customHeight="1" x14ac:dyDescent="0.25"/>
    <row r="712" ht="17.399999999999999" customHeight="1" x14ac:dyDescent="0.25"/>
    <row r="713" ht="17.399999999999999" customHeight="1" x14ac:dyDescent="0.25"/>
    <row r="714" ht="17.399999999999999" customHeight="1" x14ac:dyDescent="0.25"/>
    <row r="715" ht="17.399999999999999" customHeight="1" x14ac:dyDescent="0.25"/>
    <row r="720" ht="35.4" customHeight="1" x14ac:dyDescent="0.25"/>
    <row r="748" ht="13.25" customHeight="1" x14ac:dyDescent="0.25"/>
    <row r="766" ht="28.25" customHeight="1" x14ac:dyDescent="0.25"/>
    <row r="767" ht="28.25" customHeight="1" x14ac:dyDescent="0.25"/>
    <row r="782" ht="17.399999999999999" customHeight="1" x14ac:dyDescent="0.25"/>
    <row r="814" ht="26.25" customHeight="1" x14ac:dyDescent="0.25"/>
    <row r="836" ht="32.25" customHeight="1" x14ac:dyDescent="0.25"/>
    <row r="859" ht="33.75" customHeight="1" x14ac:dyDescent="0.25"/>
    <row r="869" ht="17.399999999999999" customHeight="1" x14ac:dyDescent="0.25"/>
    <row r="870" ht="17.399999999999999" customHeight="1" x14ac:dyDescent="0.25"/>
    <row r="871" ht="17.399999999999999" customHeight="1" x14ac:dyDescent="0.25"/>
    <row r="872" ht="17.399999999999999" customHeight="1" x14ac:dyDescent="0.25"/>
    <row r="873" ht="17.399999999999999" customHeight="1" x14ac:dyDescent="0.25"/>
    <row r="906" ht="13.25" customHeight="1" x14ac:dyDescent="0.25"/>
    <row r="923" ht="33.75" customHeight="1" x14ac:dyDescent="0.25"/>
    <row r="971" ht="13.25" customHeight="1" x14ac:dyDescent="0.25"/>
    <row r="1175" ht="28.25" customHeight="1" x14ac:dyDescent="0.25"/>
    <row r="1247" ht="33.75" customHeight="1" x14ac:dyDescent="0.25"/>
    <row r="1334" ht="33.75" customHeight="1" x14ac:dyDescent="0.25"/>
    <row r="1335" ht="17.399999999999999" customHeight="1" x14ac:dyDescent="0.25"/>
    <row r="1384" ht="140.25" customHeight="1" x14ac:dyDescent="0.25"/>
  </sheetData>
  <pageMargins left="0.7" right="0.7" top="0.75" bottom="0.75" header="0.3" footer="0.3"/>
  <pageSetup paperSize="8" scale="85" fitToHeight="0" orientation="portrait" r:id="rId1"/>
  <headerFooter>
    <oddHeader xml:space="preserve">&amp;CCENTLEC Service Tariff - Calculation Sheets 2023/24
</oddHeader>
  </headerFooter>
  <rowBreaks count="1" manualBreakCount="1">
    <brk id="114" max="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49DE4-0F8B-4FD1-9718-E783E338E00F}">
  <sheetPr>
    <pageSetUpPr fitToPage="1"/>
  </sheetPr>
  <dimension ref="A1:K1139"/>
  <sheetViews>
    <sheetView view="pageBreakPreview" topLeftCell="A277" zoomScale="62" zoomScaleNormal="70" zoomScaleSheetLayoutView="62" workbookViewId="0">
      <selection activeCell="F289" sqref="F289"/>
    </sheetView>
  </sheetViews>
  <sheetFormatPr defaultColWidth="9" defaultRowHeight="12.5" x14ac:dyDescent="0.25"/>
  <cols>
    <col min="1" max="1" width="8" style="86" customWidth="1"/>
    <col min="2" max="2" width="11.36328125" style="86" customWidth="1"/>
    <col min="3" max="3" width="40.08984375" style="86" bestFit="1" customWidth="1"/>
    <col min="4" max="4" width="14.54296875" style="86" customWidth="1"/>
    <col min="5" max="5" width="9" style="86"/>
    <col min="6" max="6" width="12.90625" style="86" customWidth="1"/>
    <col min="7" max="7" width="20.54296875" style="86" customWidth="1"/>
    <col min="8" max="9" width="20.6328125" style="86" customWidth="1"/>
    <col min="10" max="10" width="10.6328125" style="86" hidden="1" customWidth="1"/>
    <col min="11" max="11" width="11.54296875" style="86" bestFit="1" customWidth="1"/>
    <col min="12" max="12" width="9.54296875" style="86" bestFit="1" customWidth="1"/>
    <col min="13" max="18" width="9" style="86"/>
    <col min="19" max="19" width="9.36328125" style="86" bestFit="1" customWidth="1"/>
    <col min="20" max="20" width="11.81640625" style="86" bestFit="1" customWidth="1"/>
    <col min="21" max="16384" width="9" style="86"/>
  </cols>
  <sheetData>
    <row r="1" spans="1:11" ht="24" customHeight="1" x14ac:dyDescent="0.3">
      <c r="A1" s="91"/>
      <c r="B1" s="92" t="s">
        <v>681</v>
      </c>
      <c r="C1" s="93"/>
      <c r="D1" s="93"/>
      <c r="E1" s="93"/>
      <c r="F1" s="93"/>
      <c r="G1" s="93"/>
      <c r="H1" s="94"/>
      <c r="I1" s="94"/>
      <c r="J1" s="105"/>
    </row>
    <row r="2" spans="1:11" ht="13" x14ac:dyDescent="0.3">
      <c r="A2" s="91"/>
      <c r="B2" s="74"/>
      <c r="C2" s="74"/>
      <c r="D2" s="74"/>
      <c r="E2" s="74"/>
      <c r="F2" s="74"/>
      <c r="G2" s="74"/>
      <c r="H2" s="74"/>
      <c r="I2" s="74"/>
      <c r="J2" s="105"/>
    </row>
    <row r="3" spans="1:11" ht="20.75" customHeight="1" x14ac:dyDescent="0.3">
      <c r="A3" s="91"/>
      <c r="B3" s="92" t="s">
        <v>682</v>
      </c>
      <c r="C3" s="93"/>
      <c r="D3" s="93"/>
      <c r="E3" s="93"/>
      <c r="F3" s="93"/>
      <c r="G3" s="94"/>
      <c r="H3" s="132" t="s">
        <v>232</v>
      </c>
      <c r="I3" s="132" t="s">
        <v>232</v>
      </c>
      <c r="J3" s="105"/>
    </row>
    <row r="4" spans="1:11" ht="13" x14ac:dyDescent="0.3">
      <c r="A4" s="91"/>
      <c r="B4" s="74"/>
      <c r="C4" s="74"/>
      <c r="D4" s="74"/>
      <c r="E4" s="74"/>
      <c r="F4" s="74"/>
      <c r="G4" s="74"/>
      <c r="H4" s="103" t="str">
        <f>+'Unit tariffs'!$E$11</f>
        <v>2025/2026</v>
      </c>
      <c r="I4" s="103" t="str">
        <f>+'Unit tariffs'!$F$11</f>
        <v>2026/2027</v>
      </c>
      <c r="J4" s="105"/>
    </row>
    <row r="5" spans="1:11" ht="13" x14ac:dyDescent="0.3">
      <c r="A5" s="91"/>
      <c r="B5" s="74"/>
      <c r="C5" s="74"/>
      <c r="D5" s="74"/>
      <c r="E5" s="74"/>
      <c r="F5" s="74"/>
      <c r="G5" s="74"/>
      <c r="H5" s="74"/>
      <c r="I5" s="74"/>
      <c r="J5" s="110"/>
      <c r="K5" s="111"/>
    </row>
    <row r="6" spans="1:11" ht="13" x14ac:dyDescent="0.3">
      <c r="A6" s="91"/>
      <c r="B6" s="104" t="s">
        <v>117</v>
      </c>
      <c r="C6" s="74"/>
      <c r="D6" s="74"/>
      <c r="E6" s="74"/>
      <c r="F6" s="74"/>
      <c r="G6" s="74"/>
      <c r="H6" s="127"/>
      <c r="I6" s="127"/>
      <c r="J6" s="105"/>
    </row>
    <row r="7" spans="1:11" ht="13" x14ac:dyDescent="0.3">
      <c r="A7" s="91"/>
      <c r="B7" s="74" t="s">
        <v>118</v>
      </c>
      <c r="C7" s="74"/>
      <c r="D7" s="74"/>
      <c r="E7" s="74"/>
      <c r="F7" s="74"/>
      <c r="G7" s="74"/>
      <c r="H7" s="127"/>
      <c r="I7" s="127"/>
      <c r="J7" s="113"/>
    </row>
    <row r="8" spans="1:11" ht="13" x14ac:dyDescent="0.3">
      <c r="A8" s="91"/>
      <c r="B8" s="74">
        <v>2.5</v>
      </c>
      <c r="C8" s="74" t="str">
        <f>'Unit tariffs'!B$131</f>
        <v>Primary Backbone - Urban</v>
      </c>
      <c r="D8" s="74"/>
      <c r="E8" s="74"/>
      <c r="F8" s="74" t="str">
        <f>'Unit tariffs'!C$131</f>
        <v>per kVA</v>
      </c>
      <c r="G8" s="74"/>
      <c r="H8" s="76">
        <v>3176.0685000000008</v>
      </c>
      <c r="I8" s="76">
        <f>VLOOKUP($C8,'Unit tariffs'!$B$21:$F$158,5,FALSE)*$B8</f>
        <v>3588.7446084105004</v>
      </c>
      <c r="J8" s="95"/>
    </row>
    <row r="9" spans="1:11" ht="13" x14ac:dyDescent="0.3">
      <c r="A9" s="91"/>
      <c r="B9" s="74">
        <v>2.5</v>
      </c>
      <c r="C9" s="74" t="str">
        <f>'Unit tariffs'!B$133</f>
        <v>Secondary Backbone - LV Urban</v>
      </c>
      <c r="D9" s="74"/>
      <c r="E9" s="74"/>
      <c r="F9" s="74" t="str">
        <f>'Unit tariffs'!C$132</f>
        <v>per kVA</v>
      </c>
      <c r="G9" s="74"/>
      <c r="H9" s="76">
        <v>2735.2957500000007</v>
      </c>
      <c r="I9" s="76">
        <f>VLOOKUP($C9,'Unit tariffs'!$B$21:$F$158,5,FALSE)*$B9</f>
        <v>3090.700932684751</v>
      </c>
      <c r="J9" s="95"/>
    </row>
    <row r="10" spans="1:11" ht="13" x14ac:dyDescent="0.3">
      <c r="A10" s="91"/>
      <c r="B10" s="74">
        <v>2.5</v>
      </c>
      <c r="C10" s="74" t="str">
        <f>'Unit tariffs'!B$134</f>
        <v>LV Backbone -Urban</v>
      </c>
      <c r="D10" s="74"/>
      <c r="E10" s="74"/>
      <c r="F10" s="74" t="str">
        <f>'Unit tariffs'!C$133</f>
        <v>per kVA</v>
      </c>
      <c r="G10" s="74"/>
      <c r="H10" s="81">
        <v>1137.8235</v>
      </c>
      <c r="I10" s="81">
        <f>VLOOKUP($C10,'Unit tariffs'!$B$21:$F$158,5,FALSE)*$B10</f>
        <v>1285.6643208255</v>
      </c>
      <c r="J10" s="95"/>
    </row>
    <row r="11" spans="1:11" ht="19.5" customHeight="1" x14ac:dyDescent="0.3">
      <c r="A11" s="91"/>
      <c r="B11" s="74"/>
      <c r="C11" s="74"/>
      <c r="D11" s="74"/>
      <c r="E11" s="74"/>
      <c r="F11" s="74"/>
      <c r="G11" s="74"/>
      <c r="H11" s="76">
        <v>7049.187750000001</v>
      </c>
      <c r="I11" s="76">
        <f>SUM(I8:I10)</f>
        <v>7965.1098619207514</v>
      </c>
      <c r="J11" s="95"/>
    </row>
    <row r="12" spans="1:11" ht="13" x14ac:dyDescent="0.3">
      <c r="A12" s="91"/>
      <c r="B12" s="104" t="s">
        <v>41</v>
      </c>
      <c r="C12" s="74"/>
      <c r="D12" s="74"/>
      <c r="E12" s="74"/>
      <c r="F12" s="74"/>
      <c r="G12" s="74"/>
      <c r="H12" s="74"/>
      <c r="I12" s="74"/>
      <c r="J12" s="115"/>
    </row>
    <row r="13" spans="1:11" ht="13" x14ac:dyDescent="0.3">
      <c r="A13" s="91"/>
      <c r="B13" s="74"/>
      <c r="C13" s="74"/>
      <c r="D13" s="74"/>
      <c r="E13" s="74"/>
      <c r="F13" s="74"/>
      <c r="G13" s="74"/>
      <c r="H13" s="74"/>
      <c r="I13" s="74"/>
      <c r="J13" s="444" t="s">
        <v>313</v>
      </c>
    </row>
    <row r="14" spans="1:11" ht="13" x14ac:dyDescent="0.3">
      <c r="A14" s="91"/>
      <c r="B14" s="74">
        <v>1</v>
      </c>
      <c r="C14" s="74" t="str">
        <f>'Unit tariffs'!B46</f>
        <v>METER: TIME OF USE 100 AMP</v>
      </c>
      <c r="D14" s="74"/>
      <c r="E14" s="74"/>
      <c r="F14" s="85"/>
      <c r="H14" s="76">
        <v>5538.1406043608804</v>
      </c>
      <c r="I14" s="76">
        <f>VLOOKUP($C14,'Unit tariffs'!$B$21:$F$123,5,FALSE)*$B14</f>
        <v>0</v>
      </c>
      <c r="J14" s="457" t="e">
        <f>IF(+I14*'Unit tariffs'!#REF!&gt;'Unit tariffs'!#REF!,'Unit tariffs'!#REF!,+I14*'Unit tariffs'!#REF!)</f>
        <v>#REF!</v>
      </c>
    </row>
    <row r="15" spans="1:11" ht="13" x14ac:dyDescent="0.3">
      <c r="A15" s="91"/>
      <c r="B15" s="74">
        <v>1</v>
      </c>
      <c r="C15" s="74" t="s">
        <v>230</v>
      </c>
      <c r="D15" s="74"/>
      <c r="E15" s="74"/>
      <c r="F15" s="74"/>
      <c r="G15" s="74"/>
      <c r="H15" s="76">
        <v>3707.5418271871995</v>
      </c>
      <c r="I15" s="76">
        <f>VLOOKUP($C15,'Unit tariffs'!$B$21:$F$123,5,FALSE)*$B15</f>
        <v>338.07595359999993</v>
      </c>
      <c r="J15" s="457" t="e">
        <f>IF(+I15*'Unit tariffs'!#REF!&gt;'Unit tariffs'!#REF!,'Unit tariffs'!#REF!,+I15*'Unit tariffs'!#REF!)</f>
        <v>#REF!</v>
      </c>
    </row>
    <row r="16" spans="1:11" ht="13" x14ac:dyDescent="0.3">
      <c r="A16" s="91"/>
      <c r="B16" s="74">
        <v>3</v>
      </c>
      <c r="C16" s="74" t="str">
        <f>'Unit tariffs'!B43</f>
        <v>x 80 A circuit breaker (5kA) - Orange</v>
      </c>
      <c r="D16" s="74"/>
      <c r="E16" s="74"/>
      <c r="F16" s="74"/>
      <c r="G16" s="74"/>
      <c r="H16" s="76">
        <v>587.413658244972</v>
      </c>
      <c r="I16" s="76">
        <f>VLOOKUP($C16,'Unit tariffs'!$B$21:$F$123,5,FALSE)*$B16</f>
        <v>0</v>
      </c>
      <c r="J16" s="457" t="e">
        <f>IF(+I16*'Unit tariffs'!#REF!&gt;'Unit tariffs'!#REF!,'Unit tariffs'!#REF!,+I16*'Unit tariffs'!#REF!)</f>
        <v>#REF!</v>
      </c>
    </row>
    <row r="17" spans="1:10" ht="13" x14ac:dyDescent="0.3">
      <c r="A17" s="91"/>
      <c r="B17" s="74">
        <v>1</v>
      </c>
      <c r="C17" s="74" t="str">
        <f>'Unit tariffs'!B72</f>
        <v>Cable clamp (Clampex) - K26</v>
      </c>
      <c r="D17" s="74"/>
      <c r="E17" s="74"/>
      <c r="F17" s="74"/>
      <c r="G17" s="74"/>
      <c r="H17" s="76">
        <v>34.833456142903692</v>
      </c>
      <c r="I17" s="76">
        <f>VLOOKUP($C17,'Unit tariffs'!$B$21:$F$123,5,FALSE)*$B17</f>
        <v>1423.2410081400001</v>
      </c>
      <c r="J17" s="457" t="e">
        <f>IF(+I17*'Unit tariffs'!#REF!&gt;'Unit tariffs'!#REF!,'Unit tariffs'!#REF!,+I17*'Unit tariffs'!#REF!)</f>
        <v>#REF!</v>
      </c>
    </row>
    <row r="18" spans="1:10" ht="13" x14ac:dyDescent="0.3">
      <c r="A18" s="91"/>
      <c r="B18" s="74">
        <v>1</v>
      </c>
      <c r="C18" s="74" t="str">
        <f>'Unit tariffs'!B21</f>
        <v>Installation material</v>
      </c>
      <c r="D18" s="74"/>
      <c r="E18" s="74"/>
      <c r="F18" s="74"/>
      <c r="G18" s="74"/>
      <c r="H18" s="81">
        <v>271.44100000000003</v>
      </c>
      <c r="I18" s="81">
        <f>VLOOKUP($C18,'Unit tariffs'!$B$21:$F$123,5,FALSE)*$B18</f>
        <v>282.48325</v>
      </c>
      <c r="J18" s="457" t="e">
        <f>IF(+I18*'Unit tariffs'!#REF!&gt;'Unit tariffs'!#REF!,'Unit tariffs'!#REF!,+I18*'Unit tariffs'!#REF!)</f>
        <v>#REF!</v>
      </c>
    </row>
    <row r="19" spans="1:10" ht="13" x14ac:dyDescent="0.3">
      <c r="A19" s="91"/>
      <c r="B19" s="74"/>
      <c r="C19" s="74"/>
      <c r="D19" s="74"/>
      <c r="E19" s="74"/>
      <c r="F19" s="74"/>
      <c r="G19" s="76"/>
      <c r="H19" s="76">
        <v>10139.370545935957</v>
      </c>
      <c r="I19" s="76">
        <f>SUM(I14:I18)</f>
        <v>2043.8002117399999</v>
      </c>
      <c r="J19" s="447"/>
    </row>
    <row r="20" spans="1:10" ht="13" x14ac:dyDescent="0.3">
      <c r="A20" s="91"/>
      <c r="B20" s="104" t="s">
        <v>42</v>
      </c>
      <c r="C20" s="74"/>
      <c r="D20" s="74"/>
      <c r="E20" s="74"/>
      <c r="F20" s="74"/>
      <c r="G20" s="74"/>
      <c r="H20" s="74"/>
      <c r="I20" s="74"/>
      <c r="J20" s="447"/>
    </row>
    <row r="21" spans="1:10" ht="13" x14ac:dyDescent="0.3">
      <c r="A21" s="91"/>
      <c r="B21" s="74"/>
      <c r="C21" s="74"/>
      <c r="D21" s="74"/>
      <c r="E21" s="74"/>
      <c r="F21" s="74"/>
      <c r="G21" s="74"/>
      <c r="H21" s="74"/>
      <c r="I21" s="74"/>
      <c r="J21" s="447"/>
    </row>
    <row r="22" spans="1:10" ht="13" x14ac:dyDescent="0.3">
      <c r="A22" s="91"/>
      <c r="B22" s="74">
        <v>1</v>
      </c>
      <c r="C22" s="74" t="str">
        <f>'Unit tariffs'!B$87</f>
        <v xml:space="preserve">hour-artisan </v>
      </c>
      <c r="D22" s="74"/>
      <c r="E22" s="74"/>
      <c r="F22" s="74"/>
      <c r="G22" s="74"/>
      <c r="H22" s="76">
        <v>322.85223173076923</v>
      </c>
      <c r="I22" s="76">
        <f>VLOOKUP($C22,'Unit tariffs'!$B$21:$F$123,5,FALSE)*$B22</f>
        <v>351.19276615384621</v>
      </c>
      <c r="J22" s="447"/>
    </row>
    <row r="23" spans="1:10" ht="13" x14ac:dyDescent="0.3">
      <c r="A23" s="91"/>
      <c r="B23" s="74">
        <v>4</v>
      </c>
      <c r="C23" s="74" t="str">
        <f>'Unit tariffs'!B$85</f>
        <v>hour-artisan assistant</v>
      </c>
      <c r="D23" s="74"/>
      <c r="E23" s="74"/>
      <c r="F23" s="74"/>
      <c r="G23" s="74"/>
      <c r="H23" s="81">
        <v>514.14323076923085</v>
      </c>
      <c r="I23" s="81">
        <f>VLOOKUP($C23,'Unit tariffs'!$B$21:$F$123,5,FALSE)*$B23</f>
        <v>559.29703384615391</v>
      </c>
      <c r="J23" s="447"/>
    </row>
    <row r="24" spans="1:10" ht="13" x14ac:dyDescent="0.3">
      <c r="A24" s="91"/>
      <c r="B24" s="74"/>
      <c r="C24" s="74"/>
      <c r="D24" s="74"/>
      <c r="E24" s="74"/>
      <c r="F24" s="74"/>
      <c r="G24" s="74"/>
      <c r="H24" s="76">
        <v>836.99546250000003</v>
      </c>
      <c r="I24" s="76">
        <f>SUM(I22:I23)</f>
        <v>910.48980000000006</v>
      </c>
      <c r="J24" s="105"/>
    </row>
    <row r="25" spans="1:10" ht="13" x14ac:dyDescent="0.3">
      <c r="A25" s="91"/>
      <c r="B25" s="104" t="s">
        <v>43</v>
      </c>
      <c r="C25" s="74"/>
      <c r="D25" s="74"/>
      <c r="E25" s="74"/>
      <c r="F25" s="74"/>
      <c r="G25" s="74"/>
      <c r="H25" s="74"/>
      <c r="I25" s="74"/>
      <c r="J25" s="105"/>
    </row>
    <row r="26" spans="1:10" ht="13" x14ac:dyDescent="0.3">
      <c r="A26" s="91"/>
      <c r="B26" s="74"/>
      <c r="C26" s="74"/>
      <c r="D26" s="74"/>
      <c r="E26" s="74"/>
      <c r="F26" s="74"/>
      <c r="G26" s="74"/>
      <c r="H26" s="74"/>
      <c r="I26" s="74"/>
      <c r="J26" s="105"/>
    </row>
    <row r="27" spans="1:10" ht="13" x14ac:dyDescent="0.3">
      <c r="A27" s="91"/>
      <c r="B27" s="74">
        <v>28</v>
      </c>
      <c r="C27" s="74" t="str">
        <f>'Unit tariffs'!B$111</f>
        <v>km-truck with platform</v>
      </c>
      <c r="D27" s="74"/>
      <c r="E27" s="74"/>
      <c r="F27" s="74"/>
      <c r="G27" s="74"/>
      <c r="H27" s="76">
        <v>1179.3740973212612</v>
      </c>
      <c r="I27" s="76">
        <f>VLOOKUP($C27,'Unit tariffs'!$B$21:$F$123,5,FALSE)*$B27</f>
        <v>1379.9330087804956</v>
      </c>
      <c r="J27" s="95"/>
    </row>
    <row r="28" spans="1:10" ht="13" x14ac:dyDescent="0.3">
      <c r="A28" s="91"/>
      <c r="B28" s="74">
        <v>1</v>
      </c>
      <c r="C28" s="74" t="str">
        <f>'Unit tariffs'!B$112</f>
        <v>hour-truck with platform</v>
      </c>
      <c r="D28" s="74"/>
      <c r="E28" s="74"/>
      <c r="F28" s="74"/>
      <c r="G28" s="74"/>
      <c r="H28" s="81">
        <v>204.98441731167313</v>
      </c>
      <c r="I28" s="81">
        <f>VLOOKUP($C28,'Unit tariffs'!$B$21:$F$123,5,FALSE)*$B28</f>
        <v>239.8431204962792</v>
      </c>
      <c r="J28" s="95"/>
    </row>
    <row r="29" spans="1:10" ht="13" x14ac:dyDescent="0.3">
      <c r="A29" s="91"/>
      <c r="B29" s="74"/>
      <c r="C29" s="74"/>
      <c r="D29" s="74"/>
      <c r="E29" s="74"/>
      <c r="F29" s="74"/>
      <c r="G29" s="74"/>
      <c r="H29" s="76">
        <v>1384.3585146329342</v>
      </c>
      <c r="I29" s="76">
        <f>SUM(I27:I28)</f>
        <v>1619.7761292767748</v>
      </c>
      <c r="J29" s="105"/>
    </row>
    <row r="30" spans="1:10" ht="13" x14ac:dyDescent="0.3">
      <c r="A30" s="91"/>
      <c r="B30" s="74"/>
      <c r="C30" s="74"/>
      <c r="D30" s="74"/>
      <c r="E30" s="74"/>
      <c r="F30" s="74"/>
      <c r="G30" s="74"/>
      <c r="H30" s="76"/>
      <c r="I30" s="76"/>
      <c r="J30" s="105"/>
    </row>
    <row r="31" spans="1:10" ht="13" x14ac:dyDescent="0.3">
      <c r="A31" s="91"/>
      <c r="J31" s="105"/>
    </row>
    <row r="32" spans="1:10" ht="13" x14ac:dyDescent="0.3">
      <c r="A32" s="91"/>
      <c r="B32" s="74"/>
      <c r="C32" s="74"/>
      <c r="D32" s="74"/>
      <c r="E32" s="74"/>
      <c r="F32" s="74"/>
      <c r="G32" s="76"/>
      <c r="H32" s="76">
        <v>19409.91227306889</v>
      </c>
      <c r="I32" s="76">
        <f>I29+I24+I19+I11</f>
        <v>12539.176002937525</v>
      </c>
      <c r="J32" s="95"/>
    </row>
    <row r="33" spans="1:10" ht="13.5" thickBot="1" x14ac:dyDescent="0.35">
      <c r="A33" s="91"/>
      <c r="B33" s="104" t="str">
        <f>'Unit tariffs'!$B$7</f>
        <v>Administration Levy (Indirect Cost)</v>
      </c>
      <c r="C33" s="74"/>
      <c r="D33" s="106">
        <f>'Unit tariffs'!$C$7</f>
        <v>0.1</v>
      </c>
      <c r="E33" s="74" t="s">
        <v>311</v>
      </c>
      <c r="F33" s="186">
        <f>+'Unit tariffs'!$F$7</f>
        <v>10000</v>
      </c>
      <c r="G33" s="76"/>
      <c r="H33" s="108">
        <v>1940.9912273068892</v>
      </c>
      <c r="I33" s="108">
        <f>IF(I32*$D33&gt;='Unit tariffs'!$E$7,'Unit tariffs'!$E$7,I32*$D33)</f>
        <v>1253.9176002937527</v>
      </c>
      <c r="J33" s="95"/>
    </row>
    <row r="34" spans="1:10" ht="13.5" thickTop="1" x14ac:dyDescent="0.3">
      <c r="A34" s="91"/>
      <c r="B34" s="104" t="s">
        <v>44</v>
      </c>
      <c r="C34" s="74"/>
      <c r="D34" s="74"/>
      <c r="E34" s="74"/>
      <c r="F34" s="74"/>
      <c r="G34" s="76"/>
      <c r="H34" s="109">
        <v>21350.903500375778</v>
      </c>
      <c r="I34" s="109">
        <f>SUM(I32:I33)</f>
        <v>13793.093603231278</v>
      </c>
      <c r="J34" s="105"/>
    </row>
    <row r="35" spans="1:10" ht="13" x14ac:dyDescent="0.3">
      <c r="A35" s="91"/>
      <c r="B35" s="104"/>
      <c r="C35" s="74"/>
      <c r="D35" s="74"/>
      <c r="E35" s="74"/>
      <c r="F35" s="74"/>
      <c r="G35" s="76"/>
      <c r="H35" s="76"/>
      <c r="I35" s="76"/>
      <c r="J35" s="105"/>
    </row>
    <row r="36" spans="1:10" ht="13" x14ac:dyDescent="0.3">
      <c r="A36" s="91"/>
      <c r="B36" s="104" t="s">
        <v>45</v>
      </c>
      <c r="C36" s="74"/>
      <c r="D36" s="74"/>
      <c r="E36" s="74"/>
      <c r="F36" s="74"/>
      <c r="G36" s="74"/>
      <c r="H36" s="84">
        <v>21350</v>
      </c>
      <c r="I36" s="84">
        <f>ROUND(I34,-1)</f>
        <v>13790</v>
      </c>
      <c r="J36" s="105"/>
    </row>
    <row r="37" spans="1:10" ht="13" x14ac:dyDescent="0.3">
      <c r="A37" s="91"/>
      <c r="H37" s="76"/>
      <c r="I37" s="76"/>
      <c r="J37" s="105"/>
    </row>
    <row r="38" spans="1:10" ht="13" x14ac:dyDescent="0.3">
      <c r="A38" s="91"/>
      <c r="B38" s="74"/>
      <c r="C38" s="74"/>
      <c r="D38" s="74"/>
      <c r="E38" s="74"/>
      <c r="F38" s="74"/>
      <c r="G38" s="74"/>
      <c r="H38" s="112">
        <v>0</v>
      </c>
      <c r="I38" s="112">
        <f>(I36-H36)/H36</f>
        <v>-0.35409836065573769</v>
      </c>
      <c r="J38" s="105"/>
    </row>
    <row r="39" spans="1:10" ht="13" x14ac:dyDescent="0.3">
      <c r="A39" s="91"/>
      <c r="B39" s="74"/>
      <c r="C39" s="74"/>
      <c r="D39" s="74"/>
      <c r="E39" s="74"/>
      <c r="F39" s="74"/>
      <c r="G39" s="74"/>
      <c r="H39" s="74"/>
      <c r="I39" s="74"/>
      <c r="J39" s="105"/>
    </row>
    <row r="40" spans="1:10" ht="13.5" thickBot="1" x14ac:dyDescent="0.35">
      <c r="A40" s="448"/>
      <c r="B40" s="123"/>
      <c r="C40" s="123"/>
      <c r="D40" s="123"/>
      <c r="E40" s="123"/>
      <c r="F40" s="123"/>
      <c r="G40" s="123"/>
      <c r="H40" s="123"/>
      <c r="I40" s="123"/>
      <c r="J40" s="105"/>
    </row>
    <row r="41" spans="1:10" ht="13.5" thickTop="1" x14ac:dyDescent="0.3">
      <c r="A41" s="91"/>
      <c r="B41" s="74"/>
      <c r="C41" s="74"/>
      <c r="D41" s="74"/>
      <c r="E41" s="74"/>
      <c r="F41" s="74"/>
      <c r="G41" s="74"/>
      <c r="H41" s="74"/>
      <c r="I41" s="74"/>
      <c r="J41" s="105"/>
    </row>
    <row r="42" spans="1:10" ht="13" x14ac:dyDescent="0.3">
      <c r="A42" s="91"/>
      <c r="B42" s="74" t="s">
        <v>1</v>
      </c>
      <c r="C42" s="74"/>
      <c r="D42" s="74"/>
      <c r="E42" s="74"/>
      <c r="F42" s="74"/>
      <c r="G42" s="74"/>
      <c r="H42" s="74"/>
      <c r="I42" s="74"/>
      <c r="J42" s="105"/>
    </row>
    <row r="43" spans="1:10" ht="25" customHeight="1" x14ac:dyDescent="0.3">
      <c r="A43" s="91"/>
      <c r="B43" s="92" t="s">
        <v>686</v>
      </c>
      <c r="C43" s="824"/>
      <c r="D43" s="824"/>
      <c r="E43" s="824"/>
      <c r="F43" s="824"/>
      <c r="G43" s="825"/>
      <c r="H43" s="132" t="s">
        <v>685</v>
      </c>
      <c r="I43" s="132" t="s">
        <v>685</v>
      </c>
      <c r="J43" s="105"/>
    </row>
    <row r="44" spans="1:10" ht="13" x14ac:dyDescent="0.3">
      <c r="A44" s="91"/>
      <c r="B44" s="74"/>
      <c r="C44" s="74"/>
      <c r="D44" s="74"/>
      <c r="E44" s="74"/>
      <c r="F44" s="74"/>
      <c r="G44" s="74"/>
      <c r="H44" s="103" t="str">
        <f>+'Unit tariffs'!$E$11</f>
        <v>2025/2026</v>
      </c>
      <c r="I44" s="103" t="str">
        <f>+'Unit tariffs'!$F$11</f>
        <v>2026/2027</v>
      </c>
      <c r="J44" s="105"/>
    </row>
    <row r="45" spans="1:10" ht="13" x14ac:dyDescent="0.3">
      <c r="A45" s="91"/>
      <c r="B45" s="74"/>
      <c r="C45" s="74"/>
      <c r="D45" s="74"/>
      <c r="E45" s="74"/>
      <c r="F45" s="74"/>
      <c r="G45" s="74"/>
      <c r="H45" s="74"/>
      <c r="I45" s="74"/>
      <c r="J45" s="110"/>
    </row>
    <row r="46" spans="1:10" ht="13" x14ac:dyDescent="0.3">
      <c r="A46" s="91"/>
      <c r="B46" s="104" t="s">
        <v>117</v>
      </c>
      <c r="C46" s="74"/>
      <c r="D46" s="74"/>
      <c r="E46" s="74"/>
      <c r="F46" s="74"/>
      <c r="G46" s="74"/>
      <c r="H46" s="127"/>
      <c r="I46" s="127"/>
      <c r="J46" s="105"/>
    </row>
    <row r="47" spans="1:10" ht="13" x14ac:dyDescent="0.3">
      <c r="A47" s="91"/>
      <c r="B47" s="74" t="s">
        <v>118</v>
      </c>
      <c r="C47" s="74"/>
      <c r="D47" s="74"/>
      <c r="E47" s="74"/>
      <c r="F47" s="74"/>
      <c r="G47" s="74"/>
      <c r="H47" s="127"/>
      <c r="I47" s="127"/>
      <c r="J47" s="113"/>
    </row>
    <row r="48" spans="1:10" ht="13" x14ac:dyDescent="0.3">
      <c r="A48" s="91"/>
      <c r="B48" s="74">
        <v>2.5</v>
      </c>
      <c r="C48" s="74" t="str">
        <f>'Unit tariffs'!B$131</f>
        <v>Primary Backbone - Urban</v>
      </c>
      <c r="D48" s="74"/>
      <c r="E48" s="74"/>
      <c r="F48" s="74" t="str">
        <f>'Unit tariffs'!C$131</f>
        <v>per kVA</v>
      </c>
      <c r="G48" s="74"/>
      <c r="H48" s="76">
        <v>3176.0685000000008</v>
      </c>
      <c r="I48" s="76">
        <f>VLOOKUP($C48,'Unit tariffs'!$B$21:$F$158,5,FALSE)*$B48</f>
        <v>3588.7446084105004</v>
      </c>
      <c r="J48" s="95"/>
    </row>
    <row r="49" spans="1:11" ht="12" customHeight="1" x14ac:dyDescent="0.3">
      <c r="A49" s="91"/>
      <c r="B49" s="74">
        <v>2.5</v>
      </c>
      <c r="C49" s="74" t="str">
        <f>'Unit tariffs'!B$133</f>
        <v>Secondary Backbone - LV Urban</v>
      </c>
      <c r="D49" s="74"/>
      <c r="E49" s="74"/>
      <c r="F49" s="74" t="str">
        <f>'Unit tariffs'!C$132</f>
        <v>per kVA</v>
      </c>
      <c r="G49" s="74"/>
      <c r="H49" s="76">
        <v>2735.2957500000007</v>
      </c>
      <c r="I49" s="76">
        <f>VLOOKUP($C49,'Unit tariffs'!$B$21:$F$158,5,FALSE)*$B49</f>
        <v>3090.700932684751</v>
      </c>
      <c r="J49" s="95"/>
    </row>
    <row r="50" spans="1:11" ht="13" x14ac:dyDescent="0.3">
      <c r="A50" s="91"/>
      <c r="B50" s="74">
        <v>2.5</v>
      </c>
      <c r="C50" s="74" t="str">
        <f>'Unit tariffs'!B$134</f>
        <v>LV Backbone -Urban</v>
      </c>
      <c r="D50" s="74"/>
      <c r="E50" s="74"/>
      <c r="F50" s="74" t="str">
        <f>'Unit tariffs'!C$133</f>
        <v>per kVA</v>
      </c>
      <c r="G50" s="74"/>
      <c r="H50" s="81">
        <v>1137.8235</v>
      </c>
      <c r="I50" s="81">
        <f>VLOOKUP($C50,'Unit tariffs'!$B$21:$F$158,5,FALSE)*$B50</f>
        <v>1285.6643208255</v>
      </c>
      <c r="J50" s="444"/>
    </row>
    <row r="51" spans="1:11" ht="13" x14ac:dyDescent="0.3">
      <c r="A51" s="91"/>
      <c r="B51" s="74"/>
      <c r="C51" s="74"/>
      <c r="D51" s="74"/>
      <c r="E51" s="74"/>
      <c r="F51" s="74"/>
      <c r="G51" s="74"/>
      <c r="H51" s="76">
        <v>7049.187750000001</v>
      </c>
      <c r="I51" s="76">
        <f>SUM(I48:I50)</f>
        <v>7965.1098619207514</v>
      </c>
      <c r="J51" s="95"/>
    </row>
    <row r="52" spans="1:11" ht="13" x14ac:dyDescent="0.3">
      <c r="A52" s="91"/>
      <c r="B52" s="104" t="s">
        <v>41</v>
      </c>
      <c r="C52" s="74"/>
      <c r="D52" s="74"/>
      <c r="E52" s="74"/>
      <c r="F52" s="74"/>
      <c r="G52" s="74"/>
      <c r="H52" s="74"/>
      <c r="I52" s="74"/>
      <c r="J52" s="450"/>
    </row>
    <row r="53" spans="1:11" ht="13" x14ac:dyDescent="0.3">
      <c r="A53" s="91"/>
      <c r="B53" s="74"/>
      <c r="C53" s="74"/>
      <c r="D53" s="74"/>
      <c r="E53" s="74"/>
      <c r="F53" s="74"/>
      <c r="G53" s="74"/>
      <c r="H53" s="74"/>
      <c r="I53" s="74"/>
      <c r="J53" s="444" t="s">
        <v>313</v>
      </c>
    </row>
    <row r="54" spans="1:11" ht="13" x14ac:dyDescent="0.3">
      <c r="A54" s="91"/>
      <c r="B54" s="74">
        <v>1</v>
      </c>
      <c r="C54" s="74" t="str">
        <f>+'Unit tariffs'!B35</f>
        <v>Prepaid meter (Split) 1 phase 59A Unique Mbani</v>
      </c>
      <c r="D54" s="74"/>
      <c r="E54" s="74"/>
      <c r="F54" s="74"/>
      <c r="G54" s="74"/>
      <c r="H54" s="189">
        <v>2262.7591214051877</v>
      </c>
      <c r="I54" s="189">
        <f>VLOOKUP($C54,'Unit tariffs'!$B$21:$F$123,5,FALSE)*$B54</f>
        <v>1214.6779749999998</v>
      </c>
      <c r="J54" s="457" t="e">
        <f>IF(+I54*'Unit tariffs'!#REF!&gt;'Unit tariffs'!#REF!,'Unit tariffs'!#REF!,+I54*'Unit tariffs'!#REF!)</f>
        <v>#REF!</v>
      </c>
    </row>
    <row r="55" spans="1:11" ht="13" x14ac:dyDescent="0.3">
      <c r="A55" s="91"/>
      <c r="B55" s="74">
        <v>3</v>
      </c>
      <c r="C55" s="74" t="str">
        <f>'Unit tariffs'!B43</f>
        <v>x 80 A circuit breaker (5kA) - Orange</v>
      </c>
      <c r="D55" s="74"/>
      <c r="E55" s="74"/>
      <c r="F55" s="74"/>
      <c r="G55" s="74"/>
      <c r="H55" s="76">
        <v>587.413658244972</v>
      </c>
      <c r="I55" s="76">
        <f>VLOOKUP($C55,'Unit tariffs'!$B$21:$F$123,5,FALSE)*$B55</f>
        <v>0</v>
      </c>
      <c r="J55" s="457" t="e">
        <f>IF(+I55*'Unit tariffs'!#REF!&gt;'Unit tariffs'!#REF!,'Unit tariffs'!#REF!,+I55*'Unit tariffs'!#REF!)</f>
        <v>#REF!</v>
      </c>
    </row>
    <row r="56" spans="1:11" ht="13" x14ac:dyDescent="0.3">
      <c r="A56" s="91"/>
      <c r="B56" s="74">
        <v>1</v>
      </c>
      <c r="C56" s="74" t="str">
        <f>'Unit tariffs'!B72</f>
        <v>Cable clamp (Clampex) - K26</v>
      </c>
      <c r="D56" s="74"/>
      <c r="E56" s="74"/>
      <c r="F56" s="74"/>
      <c r="G56" s="74"/>
      <c r="H56" s="76">
        <v>34.833456142903692</v>
      </c>
      <c r="I56" s="76">
        <f>VLOOKUP($C56,'Unit tariffs'!$B$21:$F$123,5,FALSE)*$B56</f>
        <v>1423.2410081400001</v>
      </c>
      <c r="J56" s="457" t="e">
        <f>IF(+I56*'Unit tariffs'!#REF!&gt;'Unit tariffs'!#REF!,'Unit tariffs'!#REF!,+I56*'Unit tariffs'!#REF!)</f>
        <v>#REF!</v>
      </c>
    </row>
    <row r="57" spans="1:11" ht="13" x14ac:dyDescent="0.3">
      <c r="A57" s="91"/>
      <c r="B57" s="74">
        <v>1</v>
      </c>
      <c r="C57" s="74" t="str">
        <f>'Unit tariffs'!B21</f>
        <v>Installation material</v>
      </c>
      <c r="D57" s="74"/>
      <c r="E57" s="74"/>
      <c r="F57" s="74"/>
      <c r="G57" s="74"/>
      <c r="H57" s="81">
        <v>271.44100000000003</v>
      </c>
      <c r="I57" s="81">
        <f>VLOOKUP($C57,'Unit tariffs'!$B$21:$F$123,5,FALSE)*$B57</f>
        <v>282.48325</v>
      </c>
      <c r="J57" s="457" t="e">
        <f>IF(+I57*'Unit tariffs'!#REF!&gt;'Unit tariffs'!#REF!,'Unit tariffs'!#REF!,+I57*'Unit tariffs'!#REF!)</f>
        <v>#REF!</v>
      </c>
    </row>
    <row r="58" spans="1:11" ht="13" x14ac:dyDescent="0.3">
      <c r="A58" s="91"/>
      <c r="B58" s="74"/>
      <c r="C58" s="74"/>
      <c r="D58" s="74"/>
      <c r="E58" s="74"/>
      <c r="F58" s="74"/>
      <c r="G58" s="76"/>
      <c r="H58" s="76">
        <v>3156.4472357930636</v>
      </c>
      <c r="I58" s="76">
        <f>SUM(I54:I57)</f>
        <v>2920.4022331400001</v>
      </c>
      <c r="J58" s="447"/>
    </row>
    <row r="59" spans="1:11" ht="13" x14ac:dyDescent="0.3">
      <c r="A59" s="91"/>
      <c r="B59" s="104" t="s">
        <v>42</v>
      </c>
      <c r="C59" s="74"/>
      <c r="D59" s="74"/>
      <c r="E59" s="74"/>
      <c r="F59" s="74"/>
      <c r="G59" s="74"/>
      <c r="H59" s="74"/>
      <c r="I59" s="74"/>
      <c r="J59" s="447"/>
    </row>
    <row r="60" spans="1:11" ht="13" x14ac:dyDescent="0.3">
      <c r="A60" s="91"/>
      <c r="B60" s="74"/>
      <c r="C60" s="74"/>
      <c r="D60" s="74"/>
      <c r="E60" s="74"/>
      <c r="F60" s="74"/>
      <c r="G60" s="74"/>
      <c r="H60" s="74"/>
      <c r="I60" s="74"/>
      <c r="J60" s="447"/>
    </row>
    <row r="61" spans="1:11" ht="13" x14ac:dyDescent="0.3">
      <c r="A61" s="91"/>
      <c r="B61" s="74">
        <v>1</v>
      </c>
      <c r="C61" s="74" t="str">
        <f>'Unit tariffs'!B$87</f>
        <v xml:space="preserve">hour-artisan </v>
      </c>
      <c r="D61" s="74"/>
      <c r="E61" s="74"/>
      <c r="F61" s="74"/>
      <c r="G61" s="74"/>
      <c r="H61" s="76">
        <v>322.85223173076923</v>
      </c>
      <c r="I61" s="76">
        <f>VLOOKUP($C61,'Unit tariffs'!$B$21:$F$123,5,FALSE)*$B61</f>
        <v>351.19276615384621</v>
      </c>
      <c r="J61" s="105"/>
    </row>
    <row r="62" spans="1:11" ht="13" x14ac:dyDescent="0.3">
      <c r="A62" s="91"/>
      <c r="B62" s="74">
        <v>4</v>
      </c>
      <c r="C62" s="74" t="str">
        <f>'Unit tariffs'!B$85</f>
        <v>hour-artisan assistant</v>
      </c>
      <c r="D62" s="74"/>
      <c r="E62" s="74"/>
      <c r="F62" s="74"/>
      <c r="G62" s="74"/>
      <c r="H62" s="81">
        <v>514.14323076923085</v>
      </c>
      <c r="I62" s="81">
        <f>VLOOKUP($C62,'Unit tariffs'!$B$21:$F$123,5,FALSE)*$B62</f>
        <v>559.29703384615391</v>
      </c>
      <c r="J62" s="105"/>
      <c r="K62" s="86" t="s">
        <v>1</v>
      </c>
    </row>
    <row r="63" spans="1:11" ht="13" x14ac:dyDescent="0.3">
      <c r="A63" s="91"/>
      <c r="B63" s="74"/>
      <c r="C63" s="74"/>
      <c r="D63" s="74"/>
      <c r="E63" s="74"/>
      <c r="F63" s="74"/>
      <c r="G63" s="74"/>
      <c r="H63" s="76">
        <v>836.99546250000003</v>
      </c>
      <c r="I63" s="76">
        <f>SUM(I61:I62)</f>
        <v>910.48980000000006</v>
      </c>
      <c r="J63" s="105"/>
    </row>
    <row r="64" spans="1:11" ht="13" x14ac:dyDescent="0.3">
      <c r="A64" s="91"/>
      <c r="B64" s="104" t="s">
        <v>43</v>
      </c>
      <c r="C64" s="74"/>
      <c r="D64" s="74"/>
      <c r="E64" s="74"/>
      <c r="F64" s="74"/>
      <c r="G64" s="74"/>
      <c r="H64" s="74"/>
      <c r="I64" s="74"/>
      <c r="J64" s="95"/>
    </row>
    <row r="65" spans="1:10" ht="13" x14ac:dyDescent="0.3">
      <c r="A65" s="91"/>
      <c r="B65" s="74"/>
      <c r="C65" s="74"/>
      <c r="D65" s="74"/>
      <c r="E65" s="74"/>
      <c r="F65" s="74"/>
      <c r="G65" s="74"/>
      <c r="H65" s="74"/>
      <c r="I65" s="74"/>
      <c r="J65" s="95"/>
    </row>
    <row r="66" spans="1:10" ht="13" x14ac:dyDescent="0.3">
      <c r="A66" s="91"/>
      <c r="B66" s="74">
        <v>28</v>
      </c>
      <c r="C66" s="74" t="str">
        <f>'Unit tariffs'!B$111</f>
        <v>km-truck with platform</v>
      </c>
      <c r="D66" s="74"/>
      <c r="E66" s="74"/>
      <c r="F66" s="74"/>
      <c r="G66" s="74"/>
      <c r="H66" s="76">
        <v>1179.3740973212612</v>
      </c>
      <c r="I66" s="76">
        <f>VLOOKUP($C66,'Unit tariffs'!$B$21:$F$123,5,FALSE)*$B66</f>
        <v>1379.9330087804956</v>
      </c>
      <c r="J66" s="105"/>
    </row>
    <row r="67" spans="1:10" ht="13" x14ac:dyDescent="0.3">
      <c r="A67" s="91"/>
      <c r="B67" s="74">
        <v>1</v>
      </c>
      <c r="C67" s="74" t="str">
        <f>'Unit tariffs'!B$112</f>
        <v>hour-truck with platform</v>
      </c>
      <c r="D67" s="74"/>
      <c r="E67" s="74"/>
      <c r="F67" s="74"/>
      <c r="G67" s="74"/>
      <c r="H67" s="81">
        <v>204.98441731167313</v>
      </c>
      <c r="I67" s="81">
        <f>VLOOKUP($C67,'Unit tariffs'!$B$21:$F$123,5,FALSE)*$B67</f>
        <v>239.8431204962792</v>
      </c>
      <c r="J67" s="105"/>
    </row>
    <row r="68" spans="1:10" ht="13" x14ac:dyDescent="0.3">
      <c r="A68" s="91"/>
      <c r="B68" s="74"/>
      <c r="C68" s="74"/>
      <c r="D68" s="74"/>
      <c r="E68" s="74"/>
      <c r="F68" s="74"/>
      <c r="G68" s="74"/>
      <c r="H68" s="76">
        <v>1384.3585146329342</v>
      </c>
      <c r="I68" s="76">
        <f>SUM(I66:I67)</f>
        <v>1619.7761292767748</v>
      </c>
      <c r="J68" s="105"/>
    </row>
    <row r="69" spans="1:10" ht="13" x14ac:dyDescent="0.3">
      <c r="A69" s="91"/>
      <c r="B69" s="74"/>
      <c r="C69" s="74"/>
      <c r="D69" s="74"/>
      <c r="E69" s="74"/>
      <c r="F69" s="74"/>
      <c r="G69" s="74"/>
      <c r="H69" s="76"/>
      <c r="I69" s="76"/>
      <c r="J69" s="95"/>
    </row>
    <row r="70" spans="1:10" ht="13" x14ac:dyDescent="0.3">
      <c r="A70" s="91"/>
      <c r="B70" s="74"/>
      <c r="C70" s="74"/>
      <c r="D70" s="74"/>
      <c r="E70" s="74"/>
      <c r="F70" s="74"/>
      <c r="G70" s="76"/>
      <c r="H70" s="76">
        <v>12426.988962926</v>
      </c>
      <c r="I70" s="76">
        <f>I68+I63+I58+I51</f>
        <v>13415.778024337527</v>
      </c>
      <c r="J70" s="95"/>
    </row>
    <row r="71" spans="1:10" ht="13.5" thickBot="1" x14ac:dyDescent="0.35">
      <c r="A71" s="91"/>
      <c r="B71" s="104" t="str">
        <f>'Unit tariffs'!$B$7</f>
        <v>Administration Levy (Indirect Cost)</v>
      </c>
      <c r="C71" s="74"/>
      <c r="D71" s="106">
        <f>'Unit tariffs'!$C$7</f>
        <v>0.1</v>
      </c>
      <c r="E71" s="74" t="s">
        <v>311</v>
      </c>
      <c r="F71" s="186">
        <f>+'Unit tariffs'!$F$7</f>
        <v>10000</v>
      </c>
      <c r="G71" s="76"/>
      <c r="H71" s="108">
        <v>1242.6988962926</v>
      </c>
      <c r="I71" s="108">
        <f>IF(I70*$D71&gt;='Unit tariffs'!$E$7,'Unit tariffs'!$E$7,I70*$D71)</f>
        <v>1341.5778024337528</v>
      </c>
      <c r="J71" s="105"/>
    </row>
    <row r="72" spans="1:10" ht="13.5" thickTop="1" x14ac:dyDescent="0.3">
      <c r="A72" s="91"/>
      <c r="B72" s="104" t="s">
        <v>44</v>
      </c>
      <c r="C72" s="74"/>
      <c r="D72" s="74"/>
      <c r="E72" s="74"/>
      <c r="F72" s="74"/>
      <c r="G72" s="76"/>
      <c r="H72" s="109">
        <v>13669.6878592186</v>
      </c>
      <c r="I72" s="109">
        <f>SUM(I70:I71)</f>
        <v>14757.35582677128</v>
      </c>
      <c r="J72" s="105"/>
    </row>
    <row r="73" spans="1:10" ht="13" x14ac:dyDescent="0.3">
      <c r="A73" s="91"/>
      <c r="B73" s="104"/>
      <c r="C73" s="74"/>
      <c r="D73" s="74"/>
      <c r="E73" s="74"/>
      <c r="F73" s="74"/>
      <c r="G73" s="76"/>
      <c r="H73" s="76"/>
      <c r="I73" s="76"/>
      <c r="J73" s="105"/>
    </row>
    <row r="74" spans="1:10" ht="13" x14ac:dyDescent="0.3">
      <c r="A74" s="91"/>
      <c r="B74" s="104" t="s">
        <v>45</v>
      </c>
      <c r="C74" s="74"/>
      <c r="D74" s="74"/>
      <c r="E74" s="74"/>
      <c r="F74" s="74"/>
      <c r="G74" s="74"/>
      <c r="H74" s="84">
        <v>13670</v>
      </c>
      <c r="I74" s="84">
        <f>ROUND(I72,-1)</f>
        <v>14760</v>
      </c>
      <c r="J74" s="105"/>
    </row>
    <row r="75" spans="1:10" ht="13" x14ac:dyDescent="0.3">
      <c r="A75" s="91"/>
      <c r="H75" s="76"/>
      <c r="I75" s="76"/>
      <c r="J75" s="105"/>
    </row>
    <row r="76" spans="1:10" ht="13" x14ac:dyDescent="0.3">
      <c r="A76" s="91"/>
      <c r="B76" s="74"/>
      <c r="C76" s="74"/>
      <c r="D76" s="74"/>
      <c r="E76" s="74"/>
      <c r="F76" s="74"/>
      <c r="G76" s="74"/>
      <c r="H76" s="112">
        <v>0</v>
      </c>
      <c r="I76" s="112">
        <f>(I74-H74)/H74</f>
        <v>7.9736649597659109E-2</v>
      </c>
      <c r="J76" s="105"/>
    </row>
    <row r="77" spans="1:10" ht="13.5" thickBot="1" x14ac:dyDescent="0.35">
      <c r="A77" s="448"/>
      <c r="B77" s="123"/>
      <c r="C77" s="123"/>
      <c r="D77" s="123"/>
      <c r="E77" s="123"/>
      <c r="F77" s="123"/>
      <c r="G77" s="123"/>
      <c r="H77" s="123"/>
      <c r="I77" s="123"/>
      <c r="J77" s="105"/>
    </row>
    <row r="78" spans="1:10" ht="13.5" thickTop="1" x14ac:dyDescent="0.3">
      <c r="A78" s="445"/>
      <c r="B78" s="74"/>
      <c r="C78" s="74"/>
      <c r="D78" s="74"/>
      <c r="E78" s="74"/>
      <c r="F78" s="74"/>
      <c r="G78" s="74"/>
      <c r="H78" s="120"/>
      <c r="I78" s="120"/>
      <c r="J78" s="105"/>
    </row>
    <row r="79" spans="1:10" ht="13" x14ac:dyDescent="0.3">
      <c r="A79" s="91"/>
      <c r="B79" s="74" t="s">
        <v>1</v>
      </c>
      <c r="C79" s="74"/>
      <c r="D79" s="74"/>
      <c r="E79" s="74"/>
      <c r="F79" s="74"/>
      <c r="G79" s="74"/>
      <c r="H79" s="74"/>
      <c r="I79" s="74"/>
      <c r="J79" s="110"/>
    </row>
    <row r="80" spans="1:10" ht="26.75" customHeight="1" x14ac:dyDescent="0.3">
      <c r="A80" s="91"/>
      <c r="B80" s="92" t="s">
        <v>683</v>
      </c>
      <c r="C80" s="824"/>
      <c r="D80" s="824"/>
      <c r="E80" s="824"/>
      <c r="F80" s="824"/>
      <c r="G80" s="825"/>
      <c r="H80" s="132" t="s">
        <v>684</v>
      </c>
      <c r="I80" s="132" t="s">
        <v>684</v>
      </c>
      <c r="J80" s="105"/>
    </row>
    <row r="81" spans="1:10" ht="13" x14ac:dyDescent="0.3">
      <c r="A81" s="91"/>
      <c r="B81" s="74"/>
      <c r="C81" s="74"/>
      <c r="D81" s="74"/>
      <c r="E81" s="74"/>
      <c r="F81" s="74"/>
      <c r="G81" s="74"/>
      <c r="H81" s="103" t="str">
        <f>+'Unit tariffs'!$E$11</f>
        <v>2025/2026</v>
      </c>
      <c r="I81" s="103" t="str">
        <f>+'Unit tariffs'!$F$11</f>
        <v>2026/2027</v>
      </c>
      <c r="J81" s="113"/>
    </row>
    <row r="82" spans="1:10" ht="13" x14ac:dyDescent="0.3">
      <c r="A82" s="91"/>
      <c r="B82" s="74"/>
      <c r="C82" s="74"/>
      <c r="D82" s="74"/>
      <c r="E82" s="74"/>
      <c r="F82" s="74"/>
      <c r="G82" s="74"/>
      <c r="H82" s="74"/>
      <c r="I82" s="74"/>
      <c r="J82" s="95"/>
    </row>
    <row r="83" spans="1:10" ht="13" x14ac:dyDescent="0.3">
      <c r="A83" s="91"/>
      <c r="B83" s="104" t="s">
        <v>117</v>
      </c>
      <c r="C83" s="74"/>
      <c r="D83" s="74"/>
      <c r="E83" s="74"/>
      <c r="F83" s="74"/>
      <c r="G83" s="74"/>
      <c r="H83" s="127"/>
      <c r="I83" s="127"/>
      <c r="J83" s="95"/>
    </row>
    <row r="84" spans="1:10" ht="21.75" customHeight="1" x14ac:dyDescent="0.3">
      <c r="A84" s="91"/>
      <c r="B84" s="74" t="s">
        <v>118</v>
      </c>
      <c r="C84" s="74"/>
      <c r="D84" s="74"/>
      <c r="E84" s="74"/>
      <c r="F84" s="74"/>
      <c r="G84" s="74"/>
      <c r="H84" s="127"/>
      <c r="I84" s="127"/>
      <c r="J84" s="95"/>
    </row>
    <row r="85" spans="1:10" ht="13" x14ac:dyDescent="0.3">
      <c r="A85" s="91"/>
      <c r="B85" s="74">
        <v>2.5</v>
      </c>
      <c r="C85" s="74" t="str">
        <f>'Unit tariffs'!B$133</f>
        <v>Secondary Backbone - LV Urban</v>
      </c>
      <c r="D85" s="74"/>
      <c r="E85" s="74"/>
      <c r="F85" s="74" t="str">
        <f>'Unit tariffs'!C$132</f>
        <v>per kVA</v>
      </c>
      <c r="G85" s="74"/>
      <c r="H85" s="76">
        <v>2735.2957500000007</v>
      </c>
      <c r="I85" s="76">
        <f>VLOOKUP($C85,'Unit tariffs'!$B$21:$F$158,5,FALSE)*$B85</f>
        <v>3090.700932684751</v>
      </c>
      <c r="J85" s="444"/>
    </row>
    <row r="86" spans="1:10" ht="13" x14ac:dyDescent="0.3">
      <c r="A86" s="91"/>
      <c r="B86" s="74">
        <v>2.5</v>
      </c>
      <c r="C86" s="74" t="str">
        <f>'Unit tariffs'!B$134</f>
        <v>LV Backbone -Urban</v>
      </c>
      <c r="D86" s="74"/>
      <c r="E86" s="74"/>
      <c r="F86" s="74" t="str">
        <f>'Unit tariffs'!C$133</f>
        <v>per kVA</v>
      </c>
      <c r="G86" s="74"/>
      <c r="H86" s="81">
        <v>1137.8235</v>
      </c>
      <c r="I86" s="81">
        <f>VLOOKUP($C86,'Unit tariffs'!$B$21:$F$158,5,FALSE)*$B86</f>
        <v>1285.6643208255</v>
      </c>
      <c r="J86" s="450"/>
    </row>
    <row r="87" spans="1:10" ht="13" x14ac:dyDescent="0.3">
      <c r="A87" s="91"/>
      <c r="B87" s="74"/>
      <c r="C87" s="74"/>
      <c r="D87" s="74"/>
      <c r="E87" s="74"/>
      <c r="F87" s="74"/>
      <c r="G87" s="74"/>
      <c r="H87" s="76">
        <v>3873.1192500000006</v>
      </c>
      <c r="I87" s="76">
        <f>SUM(I85:I86)</f>
        <v>4376.365253510251</v>
      </c>
      <c r="J87" s="450"/>
    </row>
    <row r="88" spans="1:10" ht="13" x14ac:dyDescent="0.3">
      <c r="A88" s="91"/>
      <c r="B88" s="104" t="s">
        <v>41</v>
      </c>
      <c r="C88" s="74"/>
      <c r="D88" s="74"/>
      <c r="E88" s="74"/>
      <c r="F88" s="74"/>
      <c r="G88" s="74"/>
      <c r="H88" s="74"/>
      <c r="I88" s="74"/>
      <c r="J88" s="450"/>
    </row>
    <row r="89" spans="1:10" ht="13" x14ac:dyDescent="0.3">
      <c r="A89" s="91"/>
      <c r="B89" s="74"/>
      <c r="C89" s="74"/>
      <c r="D89" s="74"/>
      <c r="E89" s="74"/>
      <c r="F89" s="74"/>
      <c r="G89" s="74"/>
      <c r="H89" s="74"/>
      <c r="I89" s="74"/>
      <c r="J89" s="444" t="s">
        <v>313</v>
      </c>
    </row>
    <row r="90" spans="1:10" ht="13" x14ac:dyDescent="0.3">
      <c r="A90" s="91"/>
      <c r="B90" s="74">
        <v>1</v>
      </c>
      <c r="C90" s="74" t="str">
        <f>'Unit tariffs'!B46</f>
        <v>METER: TIME OF USE 100 AMP</v>
      </c>
      <c r="D90" s="74"/>
      <c r="E90" s="74"/>
      <c r="F90" s="85"/>
      <c r="G90" s="74"/>
      <c r="H90" s="76">
        <v>5538.1406043608804</v>
      </c>
      <c r="I90" s="76">
        <f>VLOOKUP($C90,'Unit tariffs'!$B$21:$F$123,5,FALSE)*$B90</f>
        <v>0</v>
      </c>
      <c r="J90" s="457" t="e">
        <f>IF(+I90*'Unit tariffs'!#REF!&gt;'Unit tariffs'!#REF!,'Unit tariffs'!#REF!,+I90*'Unit tariffs'!#REF!)</f>
        <v>#REF!</v>
      </c>
    </row>
    <row r="91" spans="1:10" ht="13" x14ac:dyDescent="0.3">
      <c r="A91" s="91"/>
      <c r="B91" s="74">
        <v>1</v>
      </c>
      <c r="C91" s="74" t="s">
        <v>230</v>
      </c>
      <c r="D91" s="74"/>
      <c r="E91" s="74"/>
      <c r="F91" s="74"/>
      <c r="G91" s="74"/>
      <c r="H91" s="76">
        <v>3707.5418271871995</v>
      </c>
      <c r="I91" s="76">
        <f>VLOOKUP($C91,'Unit tariffs'!$B$21:$F$123,5,FALSE)*$B91</f>
        <v>338.07595359999993</v>
      </c>
      <c r="J91" s="457" t="e">
        <f>IF(+I91*'Unit tariffs'!#REF!&gt;'Unit tariffs'!#REF!,'Unit tariffs'!#REF!,+I91*'Unit tariffs'!#REF!)</f>
        <v>#REF!</v>
      </c>
    </row>
    <row r="92" spans="1:10" ht="13" x14ac:dyDescent="0.3">
      <c r="A92" s="91"/>
      <c r="B92" s="74">
        <v>3</v>
      </c>
      <c r="C92" s="74" t="str">
        <f>'Unit tariffs'!B43</f>
        <v>x 80 A circuit breaker (5kA) - Orange</v>
      </c>
      <c r="D92" s="74"/>
      <c r="E92" s="74"/>
      <c r="F92" s="74"/>
      <c r="G92" s="74"/>
      <c r="H92" s="76">
        <v>587.413658244972</v>
      </c>
      <c r="I92" s="76">
        <f>VLOOKUP($C92,'Unit tariffs'!$B$21:$F$123,5,FALSE)*$B92</f>
        <v>0</v>
      </c>
      <c r="J92" s="457" t="e">
        <f>IF(+I92*'Unit tariffs'!#REF!&gt;'Unit tariffs'!#REF!,'Unit tariffs'!#REF!,+I92*'Unit tariffs'!#REF!)</f>
        <v>#REF!</v>
      </c>
    </row>
    <row r="93" spans="1:10" ht="13" x14ac:dyDescent="0.3">
      <c r="A93" s="91"/>
      <c r="B93" s="74">
        <v>1</v>
      </c>
      <c r="C93" s="74" t="str">
        <f>'Unit tariffs'!B72</f>
        <v>Cable clamp (Clampex) - K26</v>
      </c>
      <c r="D93" s="74"/>
      <c r="E93" s="74"/>
      <c r="F93" s="74"/>
      <c r="G93" s="74"/>
      <c r="H93" s="76">
        <v>34.833456142903692</v>
      </c>
      <c r="I93" s="76">
        <f>VLOOKUP($C93,'Unit tariffs'!$B$21:$F$123,5,FALSE)*$B93</f>
        <v>1423.2410081400001</v>
      </c>
      <c r="J93" s="457" t="e">
        <f>IF(+I93*'Unit tariffs'!#REF!&gt;'Unit tariffs'!#REF!,'Unit tariffs'!#REF!,+I93*'Unit tariffs'!#REF!)</f>
        <v>#REF!</v>
      </c>
    </row>
    <row r="94" spans="1:10" ht="13" x14ac:dyDescent="0.3">
      <c r="A94" s="91"/>
      <c r="B94" s="74">
        <v>1.5</v>
      </c>
      <c r="C94" s="74" t="str">
        <f>'Unit tariffs'!B21</f>
        <v>Installation material</v>
      </c>
      <c r="D94" s="74"/>
      <c r="E94" s="74"/>
      <c r="F94" s="74"/>
      <c r="G94" s="74"/>
      <c r="H94" s="81">
        <v>407.16150000000005</v>
      </c>
      <c r="I94" s="81">
        <f>VLOOKUP($C94,'Unit tariffs'!$B$21:$F$123,5,FALSE)*$B94</f>
        <v>423.724875</v>
      </c>
      <c r="J94" s="457" t="e">
        <f>IF(+I94*'Unit tariffs'!#REF!&gt;'Unit tariffs'!#REF!,'Unit tariffs'!#REF!,+I94*'Unit tariffs'!#REF!)</f>
        <v>#REF!</v>
      </c>
    </row>
    <row r="95" spans="1:10" ht="13" x14ac:dyDescent="0.3">
      <c r="A95" s="91"/>
      <c r="B95" s="74"/>
      <c r="C95" s="74"/>
      <c r="D95" s="74"/>
      <c r="E95" s="74"/>
      <c r="F95" s="74"/>
      <c r="G95" s="76"/>
      <c r="H95" s="76">
        <v>10275.091045935957</v>
      </c>
      <c r="I95" s="76">
        <f>SUM(I90:I94)</f>
        <v>2185.0418367399998</v>
      </c>
      <c r="J95" s="447"/>
    </row>
    <row r="96" spans="1:10" ht="13" x14ac:dyDescent="0.3">
      <c r="A96" s="91"/>
      <c r="B96" s="104" t="s">
        <v>42</v>
      </c>
      <c r="C96" s="74"/>
      <c r="D96" s="74"/>
      <c r="E96" s="74"/>
      <c r="F96" s="74"/>
      <c r="G96" s="74"/>
      <c r="H96" s="74"/>
      <c r="I96" s="74"/>
      <c r="J96" s="447"/>
    </row>
    <row r="97" spans="1:10" ht="13" x14ac:dyDescent="0.3">
      <c r="A97" s="91"/>
      <c r="B97" s="74"/>
      <c r="C97" s="74"/>
      <c r="D97" s="74"/>
      <c r="E97" s="74"/>
      <c r="F97" s="74"/>
      <c r="G97" s="74"/>
      <c r="H97" s="74"/>
      <c r="I97" s="74"/>
      <c r="J97" s="105"/>
    </row>
    <row r="98" spans="1:10" ht="13" x14ac:dyDescent="0.3">
      <c r="A98" s="91"/>
      <c r="B98" s="74">
        <v>2</v>
      </c>
      <c r="C98" s="74" t="str">
        <f>'Unit tariffs'!B$87</f>
        <v xml:space="preserve">hour-artisan </v>
      </c>
      <c r="D98" s="74"/>
      <c r="E98" s="74"/>
      <c r="F98" s="74"/>
      <c r="G98" s="74"/>
      <c r="H98" s="76">
        <v>645.70446346153847</v>
      </c>
      <c r="I98" s="76">
        <f>VLOOKUP($C98,'Unit tariffs'!$B$21:$F$123,5,FALSE)*$B98</f>
        <v>702.38553230769242</v>
      </c>
      <c r="J98" s="105"/>
    </row>
    <row r="99" spans="1:10" ht="13" x14ac:dyDescent="0.3">
      <c r="A99" s="91"/>
      <c r="B99" s="74">
        <v>2</v>
      </c>
      <c r="C99" s="74" t="str">
        <f>'Unit tariffs'!B$85</f>
        <v>hour-artisan assistant</v>
      </c>
      <c r="D99" s="74"/>
      <c r="E99" s="74"/>
      <c r="F99" s="74"/>
      <c r="G99" s="74"/>
      <c r="H99" s="81">
        <v>257.07161538461543</v>
      </c>
      <c r="I99" s="81">
        <f>VLOOKUP($C99,'Unit tariffs'!$B$21:$F$123,5,FALSE)*$B99</f>
        <v>279.64851692307695</v>
      </c>
      <c r="J99" s="105"/>
    </row>
    <row r="100" spans="1:10" ht="13" x14ac:dyDescent="0.3">
      <c r="A100" s="91"/>
      <c r="B100" s="74"/>
      <c r="C100" s="74"/>
      <c r="D100" s="74"/>
      <c r="E100" s="74"/>
      <c r="F100" s="74"/>
      <c r="G100" s="74"/>
      <c r="H100" s="76">
        <v>902.77607884615395</v>
      </c>
      <c r="I100" s="76">
        <f>SUM(I98:I99)</f>
        <v>982.03404923076937</v>
      </c>
      <c r="J100" s="95"/>
    </row>
    <row r="101" spans="1:10" ht="13" x14ac:dyDescent="0.3">
      <c r="A101" s="91"/>
      <c r="B101" s="104" t="s">
        <v>43</v>
      </c>
      <c r="C101" s="74"/>
      <c r="D101" s="74"/>
      <c r="E101" s="74"/>
      <c r="F101" s="74"/>
      <c r="G101" s="74"/>
      <c r="H101" s="74"/>
      <c r="I101" s="74"/>
      <c r="J101" s="95"/>
    </row>
    <row r="102" spans="1:10" ht="13" x14ac:dyDescent="0.3">
      <c r="A102" s="91"/>
      <c r="B102" s="74"/>
      <c r="C102" s="74"/>
      <c r="D102" s="74"/>
      <c r="E102" s="74"/>
      <c r="F102" s="74"/>
      <c r="G102" s="74"/>
      <c r="H102" s="74"/>
      <c r="I102" s="74"/>
      <c r="J102" s="105"/>
    </row>
    <row r="103" spans="1:10" ht="13" x14ac:dyDescent="0.3">
      <c r="A103" s="91"/>
      <c r="B103" s="74">
        <v>35</v>
      </c>
      <c r="C103" s="74" t="str">
        <f>'Unit tariffs'!B$111</f>
        <v>km-truck with platform</v>
      </c>
      <c r="D103" s="74"/>
      <c r="E103" s="74"/>
      <c r="F103" s="74"/>
      <c r="G103" s="74"/>
      <c r="H103" s="76">
        <v>1474.2176216515766</v>
      </c>
      <c r="I103" s="76">
        <f>VLOOKUP($C103,'Unit tariffs'!$B$21:$F$123,5,FALSE)*$B103</f>
        <v>1724.9162609756193</v>
      </c>
      <c r="J103" s="105"/>
    </row>
    <row r="104" spans="1:10" ht="13" x14ac:dyDescent="0.3">
      <c r="A104" s="91"/>
      <c r="B104" s="74">
        <v>1</v>
      </c>
      <c r="C104" s="74" t="str">
        <f>'Unit tariffs'!B$112</f>
        <v>hour-truck with platform</v>
      </c>
      <c r="D104" s="74"/>
      <c r="E104" s="74"/>
      <c r="F104" s="74"/>
      <c r="G104" s="74"/>
      <c r="H104" s="81">
        <v>204.98441731167313</v>
      </c>
      <c r="I104" s="81">
        <f>VLOOKUP($C104,'Unit tariffs'!$B$21:$F$123,5,FALSE)*$B104</f>
        <v>239.8431204962792</v>
      </c>
      <c r="J104" s="105"/>
    </row>
    <row r="105" spans="1:10" ht="13" x14ac:dyDescent="0.3">
      <c r="A105" s="91"/>
      <c r="B105" s="74"/>
      <c r="C105" s="74"/>
      <c r="D105" s="74"/>
      <c r="E105" s="74"/>
      <c r="F105" s="74"/>
      <c r="G105" s="74"/>
      <c r="H105" s="76">
        <v>1679.2020389632496</v>
      </c>
      <c r="I105" s="76">
        <f>SUM(I103:I104)</f>
        <v>1964.7593814718985</v>
      </c>
      <c r="J105" s="95"/>
    </row>
    <row r="106" spans="1:10" ht="13" x14ac:dyDescent="0.3">
      <c r="A106" s="91"/>
      <c r="B106" s="74"/>
      <c r="C106" s="74"/>
      <c r="D106" s="74"/>
      <c r="E106" s="74"/>
      <c r="F106" s="74"/>
      <c r="G106" s="74"/>
      <c r="H106" s="76"/>
      <c r="I106" s="76"/>
      <c r="J106" s="95"/>
    </row>
    <row r="107" spans="1:10" ht="13" x14ac:dyDescent="0.3">
      <c r="A107" s="91"/>
      <c r="J107" s="105"/>
    </row>
    <row r="108" spans="1:10" ht="13" x14ac:dyDescent="0.3">
      <c r="A108" s="91"/>
      <c r="B108" s="74"/>
      <c r="C108" s="74"/>
      <c r="D108" s="74"/>
      <c r="E108" s="74"/>
      <c r="F108" s="74"/>
      <c r="G108" s="76"/>
      <c r="H108" s="76">
        <v>16730.18841374536</v>
      </c>
      <c r="I108" s="76">
        <f>I105+I100+I95+I87</f>
        <v>9508.2005209529198</v>
      </c>
      <c r="J108" s="105"/>
    </row>
    <row r="109" spans="1:10" ht="13.5" thickBot="1" x14ac:dyDescent="0.35">
      <c r="A109" s="91"/>
      <c r="B109" s="104" t="str">
        <f>'Unit tariffs'!$B$7</f>
        <v>Administration Levy (Indirect Cost)</v>
      </c>
      <c r="C109" s="74"/>
      <c r="D109" s="106">
        <f>'Unit tariffs'!$C$7</f>
        <v>0.1</v>
      </c>
      <c r="E109" s="74" t="s">
        <v>311</v>
      </c>
      <c r="F109" s="186">
        <f>+'Unit tariffs'!$F$7</f>
        <v>10000</v>
      </c>
      <c r="G109" s="76"/>
      <c r="H109" s="108">
        <v>1673.0188413745361</v>
      </c>
      <c r="I109" s="108">
        <f>IF(I108*$D109&gt;='Unit tariffs'!$E$7,'Unit tariffs'!$E$7,I108*$D109)</f>
        <v>950.820052095292</v>
      </c>
      <c r="J109" s="105"/>
    </row>
    <row r="110" spans="1:10" ht="13.5" thickTop="1" x14ac:dyDescent="0.3">
      <c r="A110" s="91"/>
      <c r="B110" s="104" t="s">
        <v>44</v>
      </c>
      <c r="C110" s="74"/>
      <c r="D110" s="74"/>
      <c r="E110" s="74"/>
      <c r="F110" s="74"/>
      <c r="G110" s="76"/>
      <c r="H110" s="109">
        <v>18403.207255119894</v>
      </c>
      <c r="I110" s="109">
        <f>SUM(I108:I109)</f>
        <v>10459.020573048212</v>
      </c>
      <c r="J110" s="105"/>
    </row>
    <row r="111" spans="1:10" ht="13" x14ac:dyDescent="0.3">
      <c r="A111" s="91"/>
      <c r="B111" s="104"/>
      <c r="C111" s="74"/>
      <c r="D111" s="74"/>
      <c r="E111" s="74"/>
      <c r="F111" s="74"/>
      <c r="G111" s="76"/>
      <c r="H111" s="76"/>
      <c r="I111" s="76"/>
      <c r="J111" s="105"/>
    </row>
    <row r="112" spans="1:10" ht="13" x14ac:dyDescent="0.3">
      <c r="A112" s="91"/>
      <c r="B112" s="104" t="s">
        <v>45</v>
      </c>
      <c r="C112" s="74"/>
      <c r="D112" s="74"/>
      <c r="E112" s="74"/>
      <c r="F112" s="74"/>
      <c r="G112" s="74"/>
      <c r="H112" s="84">
        <v>18400</v>
      </c>
      <c r="I112" s="84">
        <f>ROUND(I110,-1)</f>
        <v>10460</v>
      </c>
      <c r="J112" s="105"/>
    </row>
    <row r="113" spans="1:10" ht="13" x14ac:dyDescent="0.3">
      <c r="A113" s="91"/>
      <c r="H113" s="76"/>
      <c r="I113" s="76"/>
      <c r="J113" s="105"/>
    </row>
    <row r="114" spans="1:10" ht="13" x14ac:dyDescent="0.3">
      <c r="A114" s="91"/>
      <c r="B114" s="74"/>
      <c r="C114" s="74"/>
      <c r="D114" s="74"/>
      <c r="E114" s="74"/>
      <c r="F114" s="74"/>
      <c r="G114" s="74"/>
      <c r="H114" s="112">
        <v>0</v>
      </c>
      <c r="I114" s="112">
        <f>(I112-H112)/H112</f>
        <v>-0.43152173913043479</v>
      </c>
      <c r="J114" s="105"/>
    </row>
    <row r="115" spans="1:10" ht="13" x14ac:dyDescent="0.3">
      <c r="A115" s="91"/>
      <c r="B115" s="74"/>
      <c r="C115" s="74"/>
      <c r="D115" s="74"/>
      <c r="E115" s="74"/>
      <c r="F115" s="74"/>
      <c r="G115" s="74"/>
      <c r="H115" s="112"/>
      <c r="I115" s="112"/>
      <c r="J115" s="105"/>
    </row>
    <row r="116" spans="1:10" ht="13.5" thickBot="1" x14ac:dyDescent="0.35">
      <c r="A116" s="448"/>
      <c r="B116" s="123"/>
      <c r="C116" s="123"/>
      <c r="D116" s="123"/>
      <c r="E116" s="123"/>
      <c r="F116" s="123"/>
      <c r="G116" s="123"/>
      <c r="H116" s="130"/>
      <c r="I116" s="130"/>
      <c r="J116" s="105"/>
    </row>
    <row r="117" spans="1:10" ht="13.5" thickTop="1" x14ac:dyDescent="0.3">
      <c r="A117" s="91"/>
      <c r="B117" s="74"/>
      <c r="C117" s="74"/>
      <c r="D117" s="74"/>
      <c r="E117" s="74"/>
      <c r="F117" s="74"/>
      <c r="G117" s="74"/>
      <c r="H117" s="112"/>
      <c r="I117" s="112"/>
      <c r="J117" s="105"/>
    </row>
    <row r="118" spans="1:10" ht="13" x14ac:dyDescent="0.3">
      <c r="A118" s="91"/>
      <c r="B118" s="74" t="s">
        <v>1</v>
      </c>
      <c r="C118" s="74"/>
      <c r="D118" s="74"/>
      <c r="E118" s="74"/>
      <c r="F118" s="74"/>
      <c r="G118" s="74"/>
      <c r="H118" s="74"/>
      <c r="I118" s="74"/>
      <c r="J118" s="105"/>
    </row>
    <row r="119" spans="1:10" ht="25.75" customHeight="1" x14ac:dyDescent="0.3">
      <c r="A119" s="91"/>
      <c r="B119" s="92" t="s">
        <v>687</v>
      </c>
      <c r="C119" s="824"/>
      <c r="D119" s="824"/>
      <c r="E119" s="824"/>
      <c r="F119" s="824"/>
      <c r="G119" s="825"/>
      <c r="H119" s="132" t="s">
        <v>688</v>
      </c>
      <c r="I119" s="132" t="s">
        <v>684</v>
      </c>
      <c r="J119" s="110"/>
    </row>
    <row r="120" spans="1:10" ht="13" x14ac:dyDescent="0.3">
      <c r="A120" s="91"/>
      <c r="B120" s="74"/>
      <c r="C120" s="74"/>
      <c r="D120" s="74"/>
      <c r="E120" s="74"/>
      <c r="F120" s="74"/>
      <c r="G120" s="74"/>
      <c r="H120" s="103" t="str">
        <f>+'Unit tariffs'!$E$11</f>
        <v>2025/2026</v>
      </c>
      <c r="I120" s="103" t="str">
        <f>+'Unit tariffs'!$F$11</f>
        <v>2026/2027</v>
      </c>
      <c r="J120" s="105"/>
    </row>
    <row r="121" spans="1:10" ht="13" x14ac:dyDescent="0.3">
      <c r="A121" s="91"/>
      <c r="B121" s="74"/>
      <c r="C121" s="74"/>
      <c r="D121" s="74"/>
      <c r="E121" s="74"/>
      <c r="F121" s="74"/>
      <c r="G121" s="74"/>
      <c r="H121" s="74"/>
      <c r="I121" s="74"/>
      <c r="J121" s="113"/>
    </row>
    <row r="122" spans="1:10" ht="13.5" thickBot="1" x14ac:dyDescent="0.35">
      <c r="A122" s="91"/>
      <c r="B122" s="104" t="s">
        <v>117</v>
      </c>
      <c r="C122" s="74"/>
      <c r="D122" s="74"/>
      <c r="E122" s="74"/>
      <c r="F122" s="74"/>
      <c r="G122" s="74"/>
      <c r="H122" s="127"/>
      <c r="I122" s="127"/>
      <c r="J122" s="449"/>
    </row>
    <row r="123" spans="1:10" ht="13.5" thickTop="1" x14ac:dyDescent="0.3">
      <c r="A123" s="91"/>
      <c r="B123" s="74" t="s">
        <v>118</v>
      </c>
      <c r="C123" s="74"/>
      <c r="D123" s="74"/>
      <c r="E123" s="74"/>
      <c r="F123" s="74"/>
      <c r="G123" s="74"/>
      <c r="H123" s="127"/>
      <c r="I123" s="127"/>
      <c r="J123" s="95"/>
    </row>
    <row r="124" spans="1:10" ht="21.75" customHeight="1" x14ac:dyDescent="0.3">
      <c r="A124" s="91"/>
      <c r="B124" s="74">
        <v>2.5</v>
      </c>
      <c r="C124" s="74" t="str">
        <f>'Unit tariffs'!B$133</f>
        <v>Secondary Backbone - LV Urban</v>
      </c>
      <c r="D124" s="74"/>
      <c r="E124" s="74"/>
      <c r="F124" s="74" t="str">
        <f>'Unit tariffs'!C$132</f>
        <v>per kVA</v>
      </c>
      <c r="G124" s="74"/>
      <c r="H124" s="76">
        <v>2735.2957500000007</v>
      </c>
      <c r="I124" s="76">
        <f>VLOOKUP($C124,'Unit tariffs'!$B$21:$F$158,5,FALSE)*$B124</f>
        <v>3090.700932684751</v>
      </c>
      <c r="J124" s="95"/>
    </row>
    <row r="125" spans="1:10" ht="13" x14ac:dyDescent="0.3">
      <c r="A125" s="91"/>
      <c r="B125" s="74">
        <v>2.5</v>
      </c>
      <c r="C125" s="74" t="str">
        <f>'Unit tariffs'!B$134</f>
        <v>LV Backbone -Urban</v>
      </c>
      <c r="D125" s="74"/>
      <c r="E125" s="74"/>
      <c r="F125" s="74" t="str">
        <f>'Unit tariffs'!C$133</f>
        <v>per kVA</v>
      </c>
      <c r="G125" s="74"/>
      <c r="H125" s="81">
        <v>1137.8235</v>
      </c>
      <c r="I125" s="81">
        <f>VLOOKUP($C125,'Unit tariffs'!$B$21:$F$158,5,FALSE)*$B125</f>
        <v>1285.6643208255</v>
      </c>
      <c r="J125" s="444"/>
    </row>
    <row r="126" spans="1:10" ht="13" x14ac:dyDescent="0.3">
      <c r="A126" s="91"/>
      <c r="B126" s="74"/>
      <c r="C126" s="74"/>
      <c r="D126" s="74"/>
      <c r="E126" s="74"/>
      <c r="F126" s="74"/>
      <c r="G126" s="74"/>
      <c r="H126" s="76">
        <v>3873.1192500000006</v>
      </c>
      <c r="I126" s="76">
        <f>SUM(I124:I125)</f>
        <v>4376.365253510251</v>
      </c>
      <c r="J126" s="450"/>
    </row>
    <row r="127" spans="1:10" ht="13" x14ac:dyDescent="0.3">
      <c r="A127" s="91"/>
      <c r="B127" s="104" t="s">
        <v>41</v>
      </c>
      <c r="C127" s="74"/>
      <c r="D127" s="74"/>
      <c r="E127" s="74"/>
      <c r="F127" s="74"/>
      <c r="G127" s="74"/>
      <c r="H127" s="74"/>
      <c r="I127" s="74"/>
      <c r="J127" s="450"/>
    </row>
    <row r="128" spans="1:10" ht="13" x14ac:dyDescent="0.3">
      <c r="A128" s="91"/>
      <c r="B128" s="74"/>
      <c r="C128" s="74"/>
      <c r="D128" s="74"/>
      <c r="E128" s="74"/>
      <c r="F128" s="74"/>
      <c r="G128" s="74"/>
      <c r="H128" s="74"/>
      <c r="I128" s="74"/>
      <c r="J128" s="444" t="s">
        <v>313</v>
      </c>
    </row>
    <row r="129" spans="1:10" ht="13" x14ac:dyDescent="0.3">
      <c r="A129" s="91"/>
      <c r="B129" s="74">
        <v>1</v>
      </c>
      <c r="C129" s="74" t="str">
        <f>'Unit tariffs'!B36</f>
        <v xml:space="preserve">Prepaid meter (Split) 3 phase - </v>
      </c>
      <c r="D129" s="74"/>
      <c r="E129" s="74"/>
      <c r="F129" s="74"/>
      <c r="G129" s="74"/>
      <c r="H129" s="189">
        <v>7323.5537155157153</v>
      </c>
      <c r="I129" s="189">
        <f>VLOOKUP($C129,'Unit tariffs'!$B$21:$F$123,5,FALSE)*$B129</f>
        <v>0</v>
      </c>
      <c r="J129" s="457" t="e">
        <f>IF(+I129*'Unit tariffs'!#REF!&gt;'Unit tariffs'!#REF!,'Unit tariffs'!#REF!,+I129*'Unit tariffs'!#REF!)</f>
        <v>#REF!</v>
      </c>
    </row>
    <row r="130" spans="1:10" ht="13" x14ac:dyDescent="0.3">
      <c r="A130" s="91"/>
      <c r="B130" s="74">
        <v>3</v>
      </c>
      <c r="C130" s="74" t="str">
        <f>'Unit tariffs'!B43</f>
        <v>x 80 A circuit breaker (5kA) - Orange</v>
      </c>
      <c r="D130" s="74"/>
      <c r="E130" s="74"/>
      <c r="F130" s="74"/>
      <c r="G130" s="74"/>
      <c r="H130" s="76">
        <v>587.413658244972</v>
      </c>
      <c r="I130" s="76">
        <f>VLOOKUP($C130,'Unit tariffs'!$B$21:$F$123,5,FALSE)*$B130</f>
        <v>0</v>
      </c>
      <c r="J130" s="457" t="e">
        <f>IF(+I130*'Unit tariffs'!#REF!&gt;'Unit tariffs'!#REF!,'Unit tariffs'!#REF!,+I130*'Unit tariffs'!#REF!)</f>
        <v>#REF!</v>
      </c>
    </row>
    <row r="131" spans="1:10" ht="13" x14ac:dyDescent="0.3">
      <c r="A131" s="91"/>
      <c r="B131" s="74">
        <v>1</v>
      </c>
      <c r="C131" s="74" t="str">
        <f>'Unit tariffs'!B72</f>
        <v>Cable clamp (Clampex) - K26</v>
      </c>
      <c r="D131" s="74"/>
      <c r="E131" s="74"/>
      <c r="F131" s="74"/>
      <c r="G131" s="74"/>
      <c r="H131" s="76">
        <v>34.833456142903692</v>
      </c>
      <c r="I131" s="76">
        <f>VLOOKUP($C131,'Unit tariffs'!$B$21:$F$123,5,FALSE)*$B131</f>
        <v>1423.2410081400001</v>
      </c>
      <c r="J131" s="457" t="e">
        <f>IF(+I131*'Unit tariffs'!#REF!&gt;'Unit tariffs'!#REF!,'Unit tariffs'!#REF!,+I131*'Unit tariffs'!#REF!)</f>
        <v>#REF!</v>
      </c>
    </row>
    <row r="132" spans="1:10" ht="13" x14ac:dyDescent="0.3">
      <c r="A132" s="91"/>
      <c r="B132" s="74">
        <v>1.5</v>
      </c>
      <c r="C132" s="74" t="str">
        <f>'Unit tariffs'!B21</f>
        <v>Installation material</v>
      </c>
      <c r="D132" s="74"/>
      <c r="E132" s="74"/>
      <c r="F132" s="74"/>
      <c r="G132" s="74"/>
      <c r="H132" s="81">
        <v>407.16150000000005</v>
      </c>
      <c r="I132" s="81">
        <f>VLOOKUP($C132,'Unit tariffs'!$B$21:$F$123,5,FALSE)*$B132</f>
        <v>423.724875</v>
      </c>
      <c r="J132" s="457" t="e">
        <f>IF(+I132*'Unit tariffs'!#REF!&gt;'Unit tariffs'!#REF!,'Unit tariffs'!#REF!,+I132*'Unit tariffs'!#REF!)</f>
        <v>#REF!</v>
      </c>
    </row>
    <row r="133" spans="1:10" ht="13" x14ac:dyDescent="0.3">
      <c r="A133" s="91"/>
      <c r="B133" s="74"/>
      <c r="C133" s="74"/>
      <c r="D133" s="74"/>
      <c r="E133" s="74"/>
      <c r="F133" s="74"/>
      <c r="G133" s="76"/>
      <c r="H133" s="76">
        <v>8352.9623299035902</v>
      </c>
      <c r="I133" s="76">
        <f>SUM(I129:I132)</f>
        <v>1846.9658831400002</v>
      </c>
      <c r="J133" s="447"/>
    </row>
    <row r="134" spans="1:10" ht="13" x14ac:dyDescent="0.3">
      <c r="A134" s="91"/>
      <c r="B134" s="104" t="s">
        <v>42</v>
      </c>
      <c r="C134" s="74"/>
      <c r="D134" s="74"/>
      <c r="E134" s="74"/>
      <c r="F134" s="74"/>
      <c r="G134" s="74"/>
      <c r="H134" s="74"/>
      <c r="I134" s="74"/>
      <c r="J134" s="447"/>
    </row>
    <row r="135" spans="1:10" ht="13" x14ac:dyDescent="0.3">
      <c r="A135" s="91"/>
      <c r="B135" s="74"/>
      <c r="C135" s="74"/>
      <c r="D135" s="74"/>
      <c r="E135" s="74"/>
      <c r="F135" s="74"/>
      <c r="G135" s="74"/>
      <c r="H135" s="74"/>
      <c r="I135" s="74"/>
      <c r="J135" s="447"/>
    </row>
    <row r="136" spans="1:10" ht="13" x14ac:dyDescent="0.3">
      <c r="A136" s="91"/>
      <c r="B136" s="74">
        <v>2</v>
      </c>
      <c r="C136" s="74" t="str">
        <f>'Unit tariffs'!B$87</f>
        <v xml:space="preserve">hour-artisan </v>
      </c>
      <c r="D136" s="74"/>
      <c r="E136" s="74"/>
      <c r="F136" s="74"/>
      <c r="G136" s="74"/>
      <c r="H136" s="76">
        <v>645.70446346153847</v>
      </c>
      <c r="I136" s="76">
        <f>VLOOKUP($C136,'Unit tariffs'!$B$21:$F$123,5,FALSE)*$B136</f>
        <v>702.38553230769242</v>
      </c>
      <c r="J136" s="447"/>
    </row>
    <row r="137" spans="1:10" ht="13" x14ac:dyDescent="0.3">
      <c r="A137" s="91"/>
      <c r="B137" s="74">
        <v>2</v>
      </c>
      <c r="C137" s="74" t="str">
        <f>'Unit tariffs'!B$85</f>
        <v>hour-artisan assistant</v>
      </c>
      <c r="D137" s="74"/>
      <c r="E137" s="74"/>
      <c r="F137" s="74"/>
      <c r="G137" s="74"/>
      <c r="H137" s="81">
        <v>257.07161538461543</v>
      </c>
      <c r="I137" s="81">
        <f>VLOOKUP($C137,'Unit tariffs'!$B$21:$F$123,5,FALSE)*$B137</f>
        <v>279.64851692307695</v>
      </c>
      <c r="J137" s="105"/>
    </row>
    <row r="138" spans="1:10" ht="13" x14ac:dyDescent="0.3">
      <c r="A138" s="91"/>
      <c r="B138" s="74"/>
      <c r="C138" s="74"/>
      <c r="D138" s="74"/>
      <c r="E138" s="74"/>
      <c r="F138" s="74"/>
      <c r="G138" s="74"/>
      <c r="H138" s="76">
        <v>902.77607884615395</v>
      </c>
      <c r="I138" s="76">
        <f>SUM(I136:I137)</f>
        <v>982.03404923076937</v>
      </c>
      <c r="J138" s="105"/>
    </row>
    <row r="139" spans="1:10" ht="13" x14ac:dyDescent="0.3">
      <c r="A139" s="91"/>
      <c r="B139" s="104" t="s">
        <v>43</v>
      </c>
      <c r="C139" s="74"/>
      <c r="D139" s="74"/>
      <c r="E139" s="74"/>
      <c r="F139" s="74"/>
      <c r="G139" s="74"/>
      <c r="H139" s="74"/>
      <c r="I139" s="74"/>
      <c r="J139" s="105"/>
    </row>
    <row r="140" spans="1:10" ht="13" x14ac:dyDescent="0.3">
      <c r="A140" s="91"/>
      <c r="B140" s="74"/>
      <c r="C140" s="74"/>
      <c r="D140" s="74"/>
      <c r="E140" s="74"/>
      <c r="F140" s="74"/>
      <c r="G140" s="74"/>
      <c r="H140" s="74"/>
      <c r="I140" s="74"/>
      <c r="J140" s="95"/>
    </row>
    <row r="141" spans="1:10" ht="13" x14ac:dyDescent="0.3">
      <c r="A141" s="91"/>
      <c r="B141" s="74">
        <v>35</v>
      </c>
      <c r="C141" s="74" t="str">
        <f>'Unit tariffs'!B$111</f>
        <v>km-truck with platform</v>
      </c>
      <c r="D141" s="74"/>
      <c r="E141" s="74"/>
      <c r="F141" s="74"/>
      <c r="G141" s="74"/>
      <c r="H141" s="76">
        <v>1474.2176216515766</v>
      </c>
      <c r="I141" s="76">
        <f>VLOOKUP($C141,'Unit tariffs'!$B$21:$F$123,5,FALSE)*$B141</f>
        <v>1724.9162609756193</v>
      </c>
      <c r="J141" s="95"/>
    </row>
    <row r="142" spans="1:10" ht="13" x14ac:dyDescent="0.3">
      <c r="A142" s="91"/>
      <c r="B142" s="74">
        <v>1</v>
      </c>
      <c r="C142" s="74" t="str">
        <f>'Unit tariffs'!B$112</f>
        <v>hour-truck with platform</v>
      </c>
      <c r="D142" s="74"/>
      <c r="E142" s="74"/>
      <c r="F142" s="74"/>
      <c r="G142" s="74"/>
      <c r="H142" s="81">
        <v>204.98441731167313</v>
      </c>
      <c r="I142" s="81">
        <f>VLOOKUP($C142,'Unit tariffs'!$B$21:$F$123,5,FALSE)*$B142</f>
        <v>239.8431204962792</v>
      </c>
      <c r="J142" s="105"/>
    </row>
    <row r="143" spans="1:10" ht="13" x14ac:dyDescent="0.3">
      <c r="A143" s="91"/>
      <c r="B143" s="74"/>
      <c r="C143" s="74"/>
      <c r="D143" s="74"/>
      <c r="E143" s="74"/>
      <c r="F143" s="74"/>
      <c r="G143" s="74"/>
      <c r="H143" s="76">
        <v>1679.2020389632496</v>
      </c>
      <c r="I143" s="76">
        <f>SUM(I141:I142)</f>
        <v>1964.7593814718985</v>
      </c>
      <c r="J143" s="105"/>
    </row>
    <row r="144" spans="1:10" ht="13.5" thickBot="1" x14ac:dyDescent="0.35">
      <c r="A144" s="91"/>
      <c r="B144" s="74"/>
      <c r="C144" s="74"/>
      <c r="D144" s="74"/>
      <c r="E144" s="74"/>
      <c r="F144" s="74"/>
      <c r="G144" s="74"/>
      <c r="H144" s="108"/>
      <c r="I144" s="108"/>
      <c r="J144" s="105"/>
    </row>
    <row r="145" spans="1:10" ht="13.5" thickTop="1" x14ac:dyDescent="0.3">
      <c r="A145" s="91"/>
      <c r="B145" s="74"/>
      <c r="C145" s="74"/>
      <c r="D145" s="74"/>
      <c r="E145" s="74"/>
      <c r="F145" s="74"/>
      <c r="G145" s="76"/>
      <c r="H145" s="76">
        <v>14808.059697712994</v>
      </c>
      <c r="I145" s="76">
        <f>I143+I138+I133+I126</f>
        <v>9170.1245673529193</v>
      </c>
      <c r="J145" s="95"/>
    </row>
    <row r="146" spans="1:10" ht="13.5" thickBot="1" x14ac:dyDescent="0.35">
      <c r="A146" s="91"/>
      <c r="B146" s="104" t="str">
        <f>'Unit tariffs'!$B$7</f>
        <v>Administration Levy (Indirect Cost)</v>
      </c>
      <c r="C146" s="74"/>
      <c r="D146" s="106">
        <f>'Unit tariffs'!$C$7</f>
        <v>0.1</v>
      </c>
      <c r="E146" s="74" t="s">
        <v>311</v>
      </c>
      <c r="F146" s="186">
        <f>+'Unit tariffs'!$F$7</f>
        <v>10000</v>
      </c>
      <c r="G146" s="76"/>
      <c r="H146" s="108">
        <v>1480.8059697712995</v>
      </c>
      <c r="I146" s="108">
        <f>IF(I145*$D146&gt;='Unit tariffs'!$E$7,'Unit tariffs'!$E$7,I145*$D146)</f>
        <v>917.01245673529195</v>
      </c>
      <c r="J146" s="95"/>
    </row>
    <row r="147" spans="1:10" ht="13.5" thickTop="1" x14ac:dyDescent="0.3">
      <c r="A147" s="91"/>
      <c r="B147" s="104" t="s">
        <v>44</v>
      </c>
      <c r="C147" s="74"/>
      <c r="D147" s="74"/>
      <c r="E147" s="74"/>
      <c r="F147" s="74"/>
      <c r="G147" s="76"/>
      <c r="H147" s="109">
        <v>16288.865667484293</v>
      </c>
      <c r="I147" s="109">
        <f>SUM(I145:I146)</f>
        <v>10087.137024088212</v>
      </c>
      <c r="J147" s="105"/>
    </row>
    <row r="148" spans="1:10" ht="13" x14ac:dyDescent="0.3">
      <c r="A148" s="91"/>
      <c r="B148" s="104"/>
      <c r="C148" s="74"/>
      <c r="D148" s="74"/>
      <c r="E148" s="74"/>
      <c r="F148" s="74"/>
      <c r="G148" s="76"/>
      <c r="H148" s="76"/>
      <c r="I148" s="76"/>
      <c r="J148" s="105"/>
    </row>
    <row r="149" spans="1:10" ht="13" x14ac:dyDescent="0.3">
      <c r="A149" s="91"/>
      <c r="B149" s="104" t="s">
        <v>45</v>
      </c>
      <c r="C149" s="74"/>
      <c r="D149" s="74"/>
      <c r="E149" s="74"/>
      <c r="F149" s="74"/>
      <c r="G149" s="74"/>
      <c r="H149" s="84">
        <v>16290</v>
      </c>
      <c r="I149" s="84">
        <f>ROUND(I147,-1)</f>
        <v>10090</v>
      </c>
      <c r="J149" s="105"/>
    </row>
    <row r="150" spans="1:10" ht="13" x14ac:dyDescent="0.3">
      <c r="A150" s="91"/>
      <c r="H150" s="76"/>
      <c r="I150" s="76"/>
      <c r="J150" s="105"/>
    </row>
    <row r="151" spans="1:10" ht="13" x14ac:dyDescent="0.3">
      <c r="A151" s="91"/>
      <c r="B151" s="74"/>
      <c r="C151" s="74"/>
      <c r="D151" s="74"/>
      <c r="E151" s="74"/>
      <c r="F151" s="74"/>
      <c r="G151" s="74"/>
      <c r="H151" s="112">
        <v>0</v>
      </c>
      <c r="I151" s="112">
        <f>(I149-H149)/H149</f>
        <v>-0.38060159607120936</v>
      </c>
      <c r="J151" s="105"/>
    </row>
    <row r="152" spans="1:10" ht="13" x14ac:dyDescent="0.3">
      <c r="A152" s="91"/>
      <c r="B152" s="74"/>
      <c r="C152" s="74"/>
      <c r="D152" s="74"/>
      <c r="E152" s="74"/>
      <c r="F152" s="74"/>
      <c r="G152" s="74"/>
      <c r="H152" s="74"/>
      <c r="I152" s="74"/>
      <c r="J152" s="105"/>
    </row>
    <row r="153" spans="1:10" ht="13" x14ac:dyDescent="0.3">
      <c r="A153" s="91"/>
      <c r="B153" s="74" t="s">
        <v>1</v>
      </c>
      <c r="C153" s="74"/>
      <c r="D153" s="74"/>
      <c r="E153" s="74"/>
      <c r="F153" s="74"/>
      <c r="G153" s="74"/>
      <c r="H153" s="74"/>
      <c r="I153" s="74"/>
      <c r="J153" s="105"/>
    </row>
    <row r="154" spans="1:10" ht="29" customHeight="1" x14ac:dyDescent="0.3">
      <c r="A154" s="91"/>
      <c r="B154" s="92" t="s">
        <v>689</v>
      </c>
      <c r="C154" s="824"/>
      <c r="D154" s="824"/>
      <c r="E154" s="824"/>
      <c r="F154" s="824"/>
      <c r="G154" s="825"/>
      <c r="H154" s="132" t="s">
        <v>685</v>
      </c>
      <c r="I154" s="132" t="s">
        <v>685</v>
      </c>
      <c r="J154" s="105"/>
    </row>
    <row r="155" spans="1:10" ht="13" x14ac:dyDescent="0.3">
      <c r="A155" s="91"/>
      <c r="B155" s="74"/>
      <c r="C155" s="74"/>
      <c r="D155" s="74"/>
      <c r="E155" s="74"/>
      <c r="F155" s="74"/>
      <c r="G155" s="74"/>
      <c r="H155" s="103" t="str">
        <f>+'Unit tariffs'!$E$11</f>
        <v>2025/2026</v>
      </c>
      <c r="I155" s="103" t="str">
        <f>+'Unit tariffs'!$F$11</f>
        <v>2026/2027</v>
      </c>
      <c r="J155" s="110"/>
    </row>
    <row r="156" spans="1:10" ht="13" x14ac:dyDescent="0.3">
      <c r="A156" s="91"/>
      <c r="B156" s="74"/>
      <c r="C156" s="74"/>
      <c r="D156" s="74"/>
      <c r="E156" s="74"/>
      <c r="F156" s="74"/>
      <c r="G156" s="74"/>
      <c r="H156" s="127"/>
      <c r="I156" s="127"/>
      <c r="J156" s="105"/>
    </row>
    <row r="157" spans="1:10" ht="13" x14ac:dyDescent="0.3">
      <c r="A157" s="91"/>
      <c r="B157" s="104" t="s">
        <v>117</v>
      </c>
      <c r="C157" s="74"/>
      <c r="D157" s="74"/>
      <c r="E157" s="74"/>
      <c r="F157" s="74"/>
      <c r="G157" s="74"/>
      <c r="H157" s="127"/>
      <c r="I157" s="127"/>
      <c r="J157" s="113"/>
    </row>
    <row r="158" spans="1:10" ht="13" x14ac:dyDescent="0.3">
      <c r="A158" s="91"/>
      <c r="B158" s="74" t="s">
        <v>118</v>
      </c>
      <c r="C158" s="74"/>
      <c r="D158" s="74"/>
      <c r="E158" s="74"/>
      <c r="F158" s="74"/>
      <c r="G158" s="74"/>
      <c r="H158" s="127"/>
      <c r="I158" s="127"/>
      <c r="J158" s="95"/>
    </row>
    <row r="159" spans="1:10" ht="13" x14ac:dyDescent="0.3">
      <c r="A159" s="91"/>
      <c r="B159" s="74">
        <v>2.5</v>
      </c>
      <c r="C159" s="74" t="str">
        <f>'Unit tariffs'!B137</f>
        <v>Primary Backbone - Peri Urban</v>
      </c>
      <c r="D159" s="74"/>
      <c r="E159" s="74"/>
      <c r="F159" s="74" t="s">
        <v>95</v>
      </c>
      <c r="G159" s="74"/>
      <c r="H159" s="76">
        <v>3176.0685000000008</v>
      </c>
      <c r="I159" s="76">
        <f>VLOOKUP($C159,'Unit tariffs'!$B$21:$F$158,5,FALSE)*$B159</f>
        <v>3588.7446084105004</v>
      </c>
      <c r="J159" s="95"/>
    </row>
    <row r="160" spans="1:10" s="709" customFormat="1" ht="13" x14ac:dyDescent="0.3">
      <c r="A160" s="714"/>
      <c r="B160" s="74">
        <v>2.5</v>
      </c>
      <c r="C160" s="74" t="str">
        <f>'Unit tariffs'!B138</f>
        <v>Secondary Backbone - MV Peri Urban</v>
      </c>
      <c r="D160" s="74"/>
      <c r="E160" s="74"/>
      <c r="F160" s="74" t="s">
        <v>95</v>
      </c>
      <c r="G160" s="74"/>
      <c r="H160" s="76">
        <v>2672.7387500000004</v>
      </c>
      <c r="I160" s="76">
        <f>VLOOKUP($C160,'Unit tariffs'!$B$21:$F$158,5,FALSE)*$B160</f>
        <v>3020.01571400375</v>
      </c>
      <c r="J160" s="715"/>
    </row>
    <row r="161" spans="1:10" ht="13" x14ac:dyDescent="0.3">
      <c r="A161" s="91"/>
      <c r="B161" s="74">
        <v>2.5</v>
      </c>
      <c r="C161" s="74" t="str">
        <f>'Unit tariffs'!B$139</f>
        <v>Secondary Backbone - LV Peri Urban</v>
      </c>
      <c r="D161" s="74"/>
      <c r="E161" s="74"/>
      <c r="F161" s="74" t="str">
        <f>'Unit tariffs'!C$138</f>
        <v>per kVA</v>
      </c>
      <c r="G161" s="74"/>
      <c r="H161" s="81">
        <v>4384.5560000000014</v>
      </c>
      <c r="I161" s="81">
        <f>VLOOKUP($C161,'Unit tariffs'!$B$21:$F$158,5,FALSE)*$B161</f>
        <v>4954.2545147480005</v>
      </c>
      <c r="J161" s="95"/>
    </row>
    <row r="162" spans="1:10" ht="13" x14ac:dyDescent="0.3">
      <c r="A162" s="91"/>
      <c r="B162" s="74"/>
      <c r="C162" s="74"/>
      <c r="D162" s="74"/>
      <c r="E162" s="74"/>
      <c r="F162" s="74"/>
      <c r="G162" s="74"/>
      <c r="H162" s="76">
        <v>10233.363250000002</v>
      </c>
      <c r="I162" s="76">
        <f>SUM(I159:I161)</f>
        <v>11563.014837162251</v>
      </c>
      <c r="J162" s="444"/>
    </row>
    <row r="163" spans="1:10" ht="13" x14ac:dyDescent="0.3">
      <c r="A163" s="91"/>
      <c r="B163" s="104" t="s">
        <v>41</v>
      </c>
      <c r="C163" s="74"/>
      <c r="D163" s="74"/>
      <c r="E163" s="74"/>
      <c r="F163" s="74"/>
      <c r="G163" s="74"/>
      <c r="H163" s="74"/>
      <c r="I163" s="74"/>
      <c r="J163" s="450"/>
    </row>
    <row r="164" spans="1:10" ht="13" x14ac:dyDescent="0.3">
      <c r="A164" s="91"/>
      <c r="B164" s="74"/>
      <c r="C164" s="74"/>
      <c r="D164" s="74"/>
      <c r="E164" s="74"/>
      <c r="F164" s="74"/>
      <c r="G164" s="74"/>
      <c r="H164" s="74"/>
      <c r="I164" s="74"/>
      <c r="J164" s="444" t="s">
        <v>313</v>
      </c>
    </row>
    <row r="165" spans="1:10" ht="13" x14ac:dyDescent="0.3">
      <c r="A165" s="91"/>
      <c r="B165" s="74">
        <v>1</v>
      </c>
      <c r="C165" s="74" t="s">
        <v>312</v>
      </c>
      <c r="D165" s="74"/>
      <c r="E165" s="74"/>
      <c r="F165" s="74"/>
      <c r="G165" s="74"/>
      <c r="H165" s="76">
        <v>5538.1406043608804</v>
      </c>
      <c r="I165" s="76">
        <f>VLOOKUP($C165,'Unit tariffs'!$B$21:$F$123,5,FALSE)*$B165</f>
        <v>0</v>
      </c>
      <c r="J165" s="457" t="e">
        <f>IF(+I165*'Unit tariffs'!#REF!&gt;'Unit tariffs'!#REF!,'Unit tariffs'!#REF!,+I165*'Unit tariffs'!#REF!)</f>
        <v>#REF!</v>
      </c>
    </row>
    <row r="166" spans="1:10" ht="13" x14ac:dyDescent="0.3">
      <c r="A166" s="91"/>
      <c r="B166" s="74">
        <v>3</v>
      </c>
      <c r="C166" s="74" t="str">
        <f>'Unit tariffs'!B43</f>
        <v>x 80 A circuit breaker (5kA) - Orange</v>
      </c>
      <c r="D166" s="74"/>
      <c r="E166" s="74"/>
      <c r="F166" s="74"/>
      <c r="G166" s="74"/>
      <c r="H166" s="76">
        <v>587.413658244972</v>
      </c>
      <c r="I166" s="76">
        <f>VLOOKUP($C166,'Unit tariffs'!$B$21:$F$123,5,FALSE)*$B166</f>
        <v>0</v>
      </c>
      <c r="J166" s="457" t="e">
        <f>IF(+I166*'Unit tariffs'!#REF!&gt;'Unit tariffs'!#REF!,'Unit tariffs'!#REF!,+I166*'Unit tariffs'!#REF!)</f>
        <v>#REF!</v>
      </c>
    </row>
    <row r="167" spans="1:10" ht="13" x14ac:dyDescent="0.3">
      <c r="A167" s="91"/>
      <c r="B167" s="74">
        <v>1</v>
      </c>
      <c r="C167" s="74" t="str">
        <f>'Unit tariffs'!B72</f>
        <v>Cable clamp (Clampex) - K26</v>
      </c>
      <c r="D167" s="74"/>
      <c r="E167" s="74"/>
      <c r="F167" s="74"/>
      <c r="G167" s="74"/>
      <c r="H167" s="76">
        <v>34.833456142903692</v>
      </c>
      <c r="I167" s="76">
        <f>VLOOKUP($C167,'Unit tariffs'!$B$21:$F$123,5,FALSE)*$B167</f>
        <v>1423.2410081400001</v>
      </c>
      <c r="J167" s="457" t="e">
        <f>IF(+I167*'Unit tariffs'!#REF!&gt;'Unit tariffs'!#REF!,'Unit tariffs'!#REF!,+I167*'Unit tariffs'!#REF!)</f>
        <v>#REF!</v>
      </c>
    </row>
    <row r="168" spans="1:10" ht="13" x14ac:dyDescent="0.3">
      <c r="A168" s="91"/>
      <c r="B168" s="85">
        <v>0</v>
      </c>
      <c r="C168" s="74" t="str">
        <f>'Unit tariffs'!B56</f>
        <v>m 16 mm x 4 Cu cable</v>
      </c>
      <c r="D168" s="74"/>
      <c r="E168" s="74"/>
      <c r="F168" s="74"/>
      <c r="G168" s="74"/>
      <c r="H168" s="76">
        <v>0</v>
      </c>
      <c r="I168" s="76">
        <f>VLOOKUP($C168,'Unit tariffs'!$B$21:$F$123,5,FALSE)*$B168</f>
        <v>0</v>
      </c>
      <c r="J168" s="457" t="e">
        <f>IF(+I168*'Unit tariffs'!#REF!&gt;'Unit tariffs'!#REF!,'Unit tariffs'!#REF!,+I168*'Unit tariffs'!#REF!)</f>
        <v>#REF!</v>
      </c>
    </row>
    <row r="169" spans="1:10" ht="13" x14ac:dyDescent="0.3">
      <c r="A169" s="91"/>
      <c r="B169" s="74">
        <v>1</v>
      </c>
      <c r="C169" s="74" t="str">
        <f>'Unit tariffs'!B21</f>
        <v>Installation material</v>
      </c>
      <c r="D169" s="74"/>
      <c r="E169" s="74"/>
      <c r="F169" s="74"/>
      <c r="G169" s="74"/>
      <c r="H169" s="81">
        <v>271.44100000000003</v>
      </c>
      <c r="I169" s="81">
        <f>VLOOKUP($C169,'Unit tariffs'!$B$21:$F$123,5,FALSE)*$B169</f>
        <v>282.48325</v>
      </c>
      <c r="J169" s="457" t="e">
        <f>IF(+I169*'Unit tariffs'!#REF!&gt;'Unit tariffs'!#REF!,'Unit tariffs'!#REF!,+I169*'Unit tariffs'!#REF!)</f>
        <v>#REF!</v>
      </c>
    </row>
    <row r="170" spans="1:10" ht="13" x14ac:dyDescent="0.3">
      <c r="A170" s="91"/>
      <c r="B170" s="74"/>
      <c r="C170" s="74"/>
      <c r="D170" s="74"/>
      <c r="E170" s="74"/>
      <c r="F170" s="74"/>
      <c r="G170" s="76"/>
      <c r="H170" s="76">
        <v>6431.8287187487558</v>
      </c>
      <c r="I170" s="76">
        <f>SUM(I165:I169)</f>
        <v>1705.7242581400001</v>
      </c>
      <c r="J170" s="447"/>
    </row>
    <row r="171" spans="1:10" ht="13" x14ac:dyDescent="0.3">
      <c r="A171" s="91"/>
      <c r="B171" s="104" t="s">
        <v>42</v>
      </c>
      <c r="C171" s="74"/>
      <c r="D171" s="74"/>
      <c r="E171" s="74"/>
      <c r="F171" s="74"/>
      <c r="G171" s="74"/>
      <c r="H171" s="74"/>
      <c r="I171" s="74"/>
      <c r="J171" s="447"/>
    </row>
    <row r="172" spans="1:10" ht="13" x14ac:dyDescent="0.3">
      <c r="A172" s="91"/>
      <c r="B172" s="74"/>
      <c r="C172" s="74"/>
      <c r="D172" s="74"/>
      <c r="E172" s="74"/>
      <c r="F172" s="74"/>
      <c r="G172" s="74"/>
      <c r="H172" s="74"/>
      <c r="I172" s="74"/>
      <c r="J172" s="447"/>
    </row>
    <row r="173" spans="1:10" ht="13" x14ac:dyDescent="0.3">
      <c r="A173" s="91"/>
      <c r="B173" s="74">
        <v>4</v>
      </c>
      <c r="C173" s="74" t="str">
        <f>'Unit tariffs'!B$87</f>
        <v xml:space="preserve">hour-artisan </v>
      </c>
      <c r="D173" s="74"/>
      <c r="E173" s="74"/>
      <c r="F173" s="74"/>
      <c r="G173" s="74"/>
      <c r="H173" s="76">
        <v>1291.4089269230769</v>
      </c>
      <c r="I173" s="76">
        <f>VLOOKUP($C173,'Unit tariffs'!$B$21:$F$123,5,FALSE)*$B173</f>
        <v>1404.7710646153848</v>
      </c>
      <c r="J173" s="105"/>
    </row>
    <row r="174" spans="1:10" ht="13" x14ac:dyDescent="0.3">
      <c r="A174" s="91"/>
      <c r="B174" s="74">
        <v>8</v>
      </c>
      <c r="C174" s="74" t="str">
        <f>'Unit tariffs'!B$85</f>
        <v>hour-artisan assistant</v>
      </c>
      <c r="D174" s="74"/>
      <c r="E174" s="74"/>
      <c r="F174" s="74"/>
      <c r="G174" s="74"/>
      <c r="H174" s="81">
        <v>1028.2864615384617</v>
      </c>
      <c r="I174" s="81">
        <f>VLOOKUP($C174,'Unit tariffs'!$B$21:$F$123,5,FALSE)*$B174</f>
        <v>1118.5940676923078</v>
      </c>
      <c r="J174" s="105"/>
    </row>
    <row r="175" spans="1:10" ht="13" x14ac:dyDescent="0.3">
      <c r="A175" s="91"/>
      <c r="B175" s="74"/>
      <c r="C175" s="74"/>
      <c r="D175" s="74"/>
      <c r="E175" s="74"/>
      <c r="F175" s="74"/>
      <c r="G175" s="74"/>
      <c r="H175" s="76">
        <v>2319.6953884615386</v>
      </c>
      <c r="I175" s="76">
        <f>SUM(I173:I174)</f>
        <v>2523.3651323076929</v>
      </c>
      <c r="J175" s="105"/>
    </row>
    <row r="176" spans="1:10" ht="13" x14ac:dyDescent="0.3">
      <c r="A176" s="91"/>
      <c r="B176" s="104" t="s">
        <v>43</v>
      </c>
      <c r="C176" s="74"/>
      <c r="D176" s="74"/>
      <c r="E176" s="74"/>
      <c r="F176" s="74"/>
      <c r="G176" s="74"/>
      <c r="H176" s="74"/>
      <c r="I176" s="74"/>
      <c r="J176" s="95"/>
    </row>
    <row r="177" spans="1:10" ht="13" x14ac:dyDescent="0.3">
      <c r="A177" s="91"/>
      <c r="B177" s="74"/>
      <c r="C177" s="74"/>
      <c r="D177" s="74"/>
      <c r="E177" s="74"/>
      <c r="F177" s="74"/>
      <c r="G177" s="74"/>
      <c r="H177" s="74"/>
      <c r="I177" s="74"/>
      <c r="J177" s="95"/>
    </row>
    <row r="178" spans="1:10" ht="13" x14ac:dyDescent="0.3">
      <c r="A178" s="91"/>
      <c r="B178" s="74">
        <v>24</v>
      </c>
      <c r="C178" s="74" t="str">
        <f>'Unit tariffs'!B$111</f>
        <v>km-truck with platform</v>
      </c>
      <c r="D178" s="74"/>
      <c r="E178" s="74"/>
      <c r="F178" s="74"/>
      <c r="G178" s="74"/>
      <c r="H178" s="76">
        <v>1010.8920834182238</v>
      </c>
      <c r="I178" s="76">
        <f>VLOOKUP($C178,'Unit tariffs'!$B$21:$F$123,5,FALSE)*$B178</f>
        <v>1182.7997218118533</v>
      </c>
      <c r="J178" s="105"/>
    </row>
    <row r="179" spans="1:10" ht="13" x14ac:dyDescent="0.3">
      <c r="A179" s="91"/>
      <c r="B179" s="74">
        <v>4</v>
      </c>
      <c r="C179" s="74" t="str">
        <f>'Unit tariffs'!B$112</f>
        <v>hour-truck with platform</v>
      </c>
      <c r="D179" s="74"/>
      <c r="E179" s="74"/>
      <c r="F179" s="74"/>
      <c r="G179" s="74"/>
      <c r="H179" s="81">
        <v>819.93766924669251</v>
      </c>
      <c r="I179" s="81">
        <f>VLOOKUP($C179,'Unit tariffs'!$B$21:$F$123,5,FALSE)*$B179</f>
        <v>959.37248198511679</v>
      </c>
      <c r="J179" s="105"/>
    </row>
    <row r="180" spans="1:10" ht="13" x14ac:dyDescent="0.3">
      <c r="A180" s="91"/>
      <c r="B180" s="74"/>
      <c r="C180" s="74"/>
      <c r="D180" s="74"/>
      <c r="E180" s="74"/>
      <c r="F180" s="74"/>
      <c r="G180" s="74"/>
      <c r="H180" s="76">
        <v>1830.8297526649162</v>
      </c>
      <c r="I180" s="76">
        <f>SUM(I178:I179)</f>
        <v>2142.1722037969703</v>
      </c>
      <c r="J180" s="105"/>
    </row>
    <row r="181" spans="1:10" ht="13.5" thickBot="1" x14ac:dyDescent="0.35">
      <c r="A181" s="91"/>
      <c r="B181" s="74"/>
      <c r="C181" s="74"/>
      <c r="D181" s="74"/>
      <c r="E181" s="74"/>
      <c r="F181" s="74"/>
      <c r="G181" s="74"/>
      <c r="H181" s="108"/>
      <c r="I181" s="108"/>
      <c r="J181" s="95"/>
    </row>
    <row r="182" spans="1:10" ht="13.5" thickTop="1" x14ac:dyDescent="0.3">
      <c r="A182" s="91"/>
      <c r="B182" s="74"/>
      <c r="C182" s="74"/>
      <c r="D182" s="74"/>
      <c r="E182" s="74"/>
      <c r="F182" s="74"/>
      <c r="G182" s="76"/>
      <c r="H182" s="76">
        <v>20815.717109875211</v>
      </c>
      <c r="I182" s="76">
        <f>I180+I175+I170+I162</f>
        <v>17934.276431406914</v>
      </c>
      <c r="J182" s="95"/>
    </row>
    <row r="183" spans="1:10" ht="13.5" thickBot="1" x14ac:dyDescent="0.35">
      <c r="A183" s="91"/>
      <c r="B183" s="104" t="str">
        <f>'Unit tariffs'!$B$7</f>
        <v>Administration Levy (Indirect Cost)</v>
      </c>
      <c r="C183" s="74"/>
      <c r="D183" s="106">
        <f>'Unit tariffs'!$C$7</f>
        <v>0.1</v>
      </c>
      <c r="E183" s="74" t="s">
        <v>311</v>
      </c>
      <c r="F183" s="186">
        <f>+'Unit tariffs'!$F$7</f>
        <v>10000</v>
      </c>
      <c r="G183" s="76"/>
      <c r="H183" s="108">
        <v>2081.5717109875213</v>
      </c>
      <c r="I183" s="108">
        <f>IF(I182*$D183&gt;='Unit tariffs'!$E$7,'Unit tariffs'!$E$7,I182*$D183)</f>
        <v>1793.4276431406915</v>
      </c>
      <c r="J183" s="105"/>
    </row>
    <row r="184" spans="1:10" ht="13.5" thickTop="1" x14ac:dyDescent="0.3">
      <c r="A184" s="91"/>
      <c r="B184" s="104" t="s">
        <v>44</v>
      </c>
      <c r="C184" s="74"/>
      <c r="D184" s="74"/>
      <c r="E184" s="74"/>
      <c r="F184" s="74"/>
      <c r="G184" s="76"/>
      <c r="H184" s="109">
        <v>22897.288820862734</v>
      </c>
      <c r="I184" s="109">
        <f>SUM(I182:I183)</f>
        <v>19727.704074547604</v>
      </c>
      <c r="J184" s="105"/>
    </row>
    <row r="185" spans="1:10" ht="13" x14ac:dyDescent="0.3">
      <c r="A185" s="91"/>
      <c r="B185" s="104"/>
      <c r="C185" s="74"/>
      <c r="D185" s="74"/>
      <c r="E185" s="74"/>
      <c r="F185" s="74"/>
      <c r="G185" s="76"/>
      <c r="H185" s="76"/>
      <c r="I185" s="76"/>
      <c r="J185" s="105"/>
    </row>
    <row r="186" spans="1:10" ht="13" x14ac:dyDescent="0.3">
      <c r="A186" s="91"/>
      <c r="B186" s="104" t="s">
        <v>45</v>
      </c>
      <c r="C186" s="74"/>
      <c r="D186" s="74"/>
      <c r="E186" s="74"/>
      <c r="F186" s="74"/>
      <c r="G186" s="74"/>
      <c r="H186" s="84">
        <v>22900</v>
      </c>
      <c r="I186" s="84">
        <f>ROUND(I184,-1)</f>
        <v>19730</v>
      </c>
      <c r="J186" s="105"/>
    </row>
    <row r="187" spans="1:10" ht="13" x14ac:dyDescent="0.3">
      <c r="A187" s="91"/>
      <c r="H187" s="76"/>
      <c r="I187" s="76"/>
      <c r="J187" s="105"/>
    </row>
    <row r="188" spans="1:10" ht="13" x14ac:dyDescent="0.3">
      <c r="A188" s="91"/>
      <c r="B188" s="74"/>
      <c r="C188" s="74"/>
      <c r="D188" s="74"/>
      <c r="E188" s="74"/>
      <c r="F188" s="74"/>
      <c r="G188" s="74"/>
      <c r="H188" s="112">
        <v>0</v>
      </c>
      <c r="I188" s="112">
        <f>(I186-H186)/H186</f>
        <v>-0.13842794759825328</v>
      </c>
      <c r="J188" s="105"/>
    </row>
    <row r="189" spans="1:10" ht="13.5" thickBot="1" x14ac:dyDescent="0.35">
      <c r="A189" s="123"/>
      <c r="B189" s="123"/>
      <c r="C189" s="123"/>
      <c r="D189" s="123"/>
      <c r="E189" s="123"/>
      <c r="F189" s="123"/>
      <c r="G189" s="123"/>
      <c r="H189" s="130"/>
      <c r="I189" s="130"/>
      <c r="J189" s="76"/>
    </row>
    <row r="190" spans="1:10" ht="13.5" thickTop="1" x14ac:dyDescent="0.3">
      <c r="A190" s="91"/>
      <c r="B190" s="74"/>
      <c r="C190" s="74"/>
      <c r="D190" s="74"/>
      <c r="E190" s="74"/>
      <c r="F190" s="74"/>
      <c r="G190" s="74"/>
      <c r="H190" s="74"/>
      <c r="I190" s="74"/>
      <c r="J190" s="105"/>
    </row>
    <row r="191" spans="1:10" ht="36" customHeight="1" x14ac:dyDescent="0.3">
      <c r="A191" s="91"/>
      <c r="B191" s="92" t="s">
        <v>691</v>
      </c>
      <c r="C191" s="824"/>
      <c r="D191" s="824"/>
      <c r="E191" s="824"/>
      <c r="F191" s="824"/>
      <c r="G191" s="825"/>
      <c r="H191" s="132" t="s">
        <v>690</v>
      </c>
      <c r="I191" s="132" t="s">
        <v>690</v>
      </c>
      <c r="J191" s="110"/>
    </row>
    <row r="192" spans="1:10" ht="13" x14ac:dyDescent="0.3">
      <c r="A192" s="91"/>
      <c r="B192" s="74"/>
      <c r="C192" s="74"/>
      <c r="D192" s="74"/>
      <c r="E192" s="74"/>
      <c r="F192" s="74"/>
      <c r="G192" s="74"/>
      <c r="H192" s="103" t="str">
        <f>+'Unit tariffs'!$E$11</f>
        <v>2025/2026</v>
      </c>
      <c r="I192" s="103" t="str">
        <f>+'Unit tariffs'!$F$11</f>
        <v>2026/2027</v>
      </c>
      <c r="J192" s="105"/>
    </row>
    <row r="193" spans="1:10" ht="13" x14ac:dyDescent="0.3">
      <c r="A193" s="91"/>
      <c r="B193" s="74"/>
      <c r="C193" s="74"/>
      <c r="D193" s="74"/>
      <c r="E193" s="74"/>
      <c r="F193" s="74"/>
      <c r="G193" s="74"/>
      <c r="H193" s="127"/>
      <c r="I193" s="127"/>
      <c r="J193" s="113"/>
    </row>
    <row r="194" spans="1:10" ht="13" x14ac:dyDescent="0.3">
      <c r="A194" s="91"/>
      <c r="B194" s="104" t="s">
        <v>117</v>
      </c>
      <c r="C194" s="74"/>
      <c r="D194" s="74"/>
      <c r="E194" s="74"/>
      <c r="F194" s="74"/>
      <c r="G194" s="74"/>
      <c r="H194" s="127"/>
      <c r="I194" s="127"/>
      <c r="J194" s="113"/>
    </row>
    <row r="195" spans="1:10" ht="13" x14ac:dyDescent="0.3">
      <c r="A195" s="91"/>
      <c r="B195" s="74" t="s">
        <v>118</v>
      </c>
      <c r="C195" s="74"/>
      <c r="D195" s="74"/>
      <c r="E195" s="74"/>
      <c r="F195" s="74"/>
      <c r="G195" s="74"/>
      <c r="H195" s="127"/>
      <c r="I195" s="127"/>
      <c r="J195" s="95"/>
    </row>
    <row r="196" spans="1:10" ht="23.25" customHeight="1" x14ac:dyDescent="0.3">
      <c r="A196" s="91"/>
      <c r="B196" s="74">
        <v>2.5</v>
      </c>
      <c r="C196" s="74" t="str">
        <f>'Unit tariffs'!B137</f>
        <v>Primary Backbone - Peri Urban</v>
      </c>
      <c r="D196" s="74"/>
      <c r="E196" s="74"/>
      <c r="F196" s="74" t="s">
        <v>95</v>
      </c>
      <c r="G196" s="74"/>
      <c r="H196" s="76">
        <v>3176.0685000000008</v>
      </c>
      <c r="I196" s="76">
        <f>VLOOKUP($C196,'Unit tariffs'!$B$21:$F$158,5,FALSE)*$B196</f>
        <v>3588.7446084105004</v>
      </c>
      <c r="J196" s="95"/>
    </row>
    <row r="197" spans="1:10" s="709" customFormat="1" ht="13" x14ac:dyDescent="0.3">
      <c r="A197" s="714"/>
      <c r="B197" s="74">
        <v>2.5</v>
      </c>
      <c r="C197" s="74" t="str">
        <f>'Unit tariffs'!B138</f>
        <v>Secondary Backbone - MV Peri Urban</v>
      </c>
      <c r="D197" s="74"/>
      <c r="E197" s="74"/>
      <c r="F197" s="74"/>
      <c r="G197" s="74"/>
      <c r="H197" s="76">
        <v>2672.7387500000004</v>
      </c>
      <c r="I197" s="76">
        <f>VLOOKUP($C197,'Unit tariffs'!$B$21:$F$158,5,FALSE)*$B197</f>
        <v>3020.01571400375</v>
      </c>
      <c r="J197" s="715"/>
    </row>
    <row r="198" spans="1:10" ht="13" x14ac:dyDescent="0.3">
      <c r="A198" s="91"/>
      <c r="B198" s="74">
        <v>2.5</v>
      </c>
      <c r="C198" s="74" t="str">
        <f>'Unit tariffs'!B$139</f>
        <v>Secondary Backbone - LV Peri Urban</v>
      </c>
      <c r="D198" s="74"/>
      <c r="E198" s="74"/>
      <c r="F198" s="74" t="str">
        <f>'Unit tariffs'!C$138</f>
        <v>per kVA</v>
      </c>
      <c r="G198" s="74"/>
      <c r="H198" s="81">
        <v>4384.5560000000014</v>
      </c>
      <c r="I198" s="81">
        <f>VLOOKUP($C198,'Unit tariffs'!$B$21:$F$158,5,FALSE)*$B198</f>
        <v>4954.2545147480005</v>
      </c>
      <c r="J198" s="444"/>
    </row>
    <row r="199" spans="1:10" ht="13" x14ac:dyDescent="0.3">
      <c r="A199" s="91"/>
      <c r="B199" s="74"/>
      <c r="C199" s="74"/>
      <c r="D199" s="74"/>
      <c r="E199" s="74"/>
      <c r="F199" s="74"/>
      <c r="G199" s="74"/>
      <c r="H199" s="76">
        <v>10233.363250000002</v>
      </c>
      <c r="I199" s="76">
        <f>SUM(I196:I198)</f>
        <v>11563.014837162251</v>
      </c>
      <c r="J199" s="450"/>
    </row>
    <row r="200" spans="1:10" ht="13" x14ac:dyDescent="0.3">
      <c r="A200" s="91"/>
      <c r="B200" s="104" t="s">
        <v>41</v>
      </c>
      <c r="C200" s="74"/>
      <c r="D200" s="74"/>
      <c r="E200" s="74"/>
      <c r="F200" s="74"/>
      <c r="G200" s="74"/>
      <c r="H200" s="74"/>
      <c r="I200" s="74"/>
      <c r="J200" s="450"/>
    </row>
    <row r="201" spans="1:10" ht="13" x14ac:dyDescent="0.3">
      <c r="A201" s="91"/>
      <c r="B201" s="74"/>
      <c r="C201" s="74"/>
      <c r="D201" s="74"/>
      <c r="E201" s="74"/>
      <c r="F201" s="74"/>
      <c r="G201" s="74"/>
      <c r="H201" s="74"/>
      <c r="I201" s="74"/>
      <c r="J201" s="444" t="s">
        <v>313</v>
      </c>
    </row>
    <row r="202" spans="1:10" ht="13" x14ac:dyDescent="0.3">
      <c r="A202" s="91"/>
      <c r="B202" s="74">
        <v>1</v>
      </c>
      <c r="C202" s="74" t="str">
        <f>'Unit tariffs'!B36</f>
        <v xml:space="preserve">Prepaid meter (Split) 3 phase - </v>
      </c>
      <c r="D202" s="74"/>
      <c r="E202" s="74"/>
      <c r="F202" s="74"/>
      <c r="G202" s="74"/>
      <c r="H202" s="76">
        <v>7323.5537155157153</v>
      </c>
      <c r="I202" s="76">
        <f>VLOOKUP($C202,'Unit tariffs'!$B$21:$F$123,5,FALSE)*$B202</f>
        <v>0</v>
      </c>
      <c r="J202" s="457" t="e">
        <f>IF(+I202*'Unit tariffs'!#REF!&gt;'Unit tariffs'!#REF!,'Unit tariffs'!#REF!,+I202*'Unit tariffs'!#REF!)</f>
        <v>#REF!</v>
      </c>
    </row>
    <row r="203" spans="1:10" ht="13" x14ac:dyDescent="0.3">
      <c r="A203" s="91"/>
      <c r="B203" s="74">
        <v>3</v>
      </c>
      <c r="C203" s="74" t="str">
        <f>'Unit tariffs'!B43</f>
        <v>x 80 A circuit breaker (5kA) - Orange</v>
      </c>
      <c r="D203" s="74"/>
      <c r="E203" s="74"/>
      <c r="F203" s="74"/>
      <c r="G203" s="74"/>
      <c r="H203" s="76">
        <v>587.413658244972</v>
      </c>
      <c r="I203" s="76">
        <f>VLOOKUP($C203,'Unit tariffs'!$B$21:$F$123,5,FALSE)*$B203</f>
        <v>0</v>
      </c>
      <c r="J203" s="457" t="e">
        <f>IF(+I203*'Unit tariffs'!#REF!&gt;'Unit tariffs'!#REF!,'Unit tariffs'!#REF!,+I203*'Unit tariffs'!#REF!)</f>
        <v>#REF!</v>
      </c>
    </row>
    <row r="204" spans="1:10" ht="13" x14ac:dyDescent="0.3">
      <c r="A204" s="91"/>
      <c r="B204" s="74">
        <v>1</v>
      </c>
      <c r="C204" s="74" t="str">
        <f>'Unit tariffs'!B72</f>
        <v>Cable clamp (Clampex) - K26</v>
      </c>
      <c r="D204" s="74"/>
      <c r="E204" s="74"/>
      <c r="F204" s="74"/>
      <c r="G204" s="74"/>
      <c r="H204" s="76">
        <v>34.833456142903692</v>
      </c>
      <c r="I204" s="76">
        <f>VLOOKUP($C204,'Unit tariffs'!$B$21:$F$123,5,FALSE)*$B204</f>
        <v>1423.2410081400001</v>
      </c>
      <c r="J204" s="457" t="e">
        <f>IF(+I204*'Unit tariffs'!#REF!&gt;'Unit tariffs'!#REF!,'Unit tariffs'!#REF!,+I204*'Unit tariffs'!#REF!)</f>
        <v>#REF!</v>
      </c>
    </row>
    <row r="205" spans="1:10" ht="13" x14ac:dyDescent="0.3">
      <c r="A205" s="91"/>
      <c r="B205" s="85">
        <v>0</v>
      </c>
      <c r="C205" s="74" t="str">
        <f>'Unit tariffs'!B56</f>
        <v>m 16 mm x 4 Cu cable</v>
      </c>
      <c r="D205" s="74"/>
      <c r="E205" s="74"/>
      <c r="F205" s="74"/>
      <c r="G205" s="74"/>
      <c r="H205" s="76">
        <v>0</v>
      </c>
      <c r="I205" s="76">
        <f>VLOOKUP($C205,'Unit tariffs'!$B$21:$F$123,5,FALSE)*$B205</f>
        <v>0</v>
      </c>
      <c r="J205" s="457" t="e">
        <f>IF(+I205*'Unit tariffs'!#REF!&gt;'Unit tariffs'!#REF!,'Unit tariffs'!#REF!,+I205*'Unit tariffs'!#REF!)</f>
        <v>#REF!</v>
      </c>
    </row>
    <row r="206" spans="1:10" ht="13" x14ac:dyDescent="0.3">
      <c r="A206" s="91"/>
      <c r="B206" s="74">
        <v>1</v>
      </c>
      <c r="C206" s="74" t="str">
        <f>'Unit tariffs'!B21</f>
        <v>Installation material</v>
      </c>
      <c r="D206" s="74"/>
      <c r="E206" s="74"/>
      <c r="F206" s="74"/>
      <c r="G206" s="74"/>
      <c r="H206" s="81">
        <v>271.44100000000003</v>
      </c>
      <c r="I206" s="81">
        <f>VLOOKUP($C206,'Unit tariffs'!$B$21:$F$123,5,FALSE)*$B206</f>
        <v>282.48325</v>
      </c>
      <c r="J206" s="457" t="e">
        <f>IF(+I206*'Unit tariffs'!#REF!&gt;'Unit tariffs'!#REF!,'Unit tariffs'!#REF!,+I206*'Unit tariffs'!#REF!)</f>
        <v>#REF!</v>
      </c>
    </row>
    <row r="207" spans="1:10" ht="13" x14ac:dyDescent="0.3">
      <c r="A207" s="91"/>
      <c r="B207" s="74"/>
      <c r="C207" s="74"/>
      <c r="D207" s="74"/>
      <c r="E207" s="74"/>
      <c r="F207" s="74"/>
      <c r="G207" s="76"/>
      <c r="H207" s="76">
        <v>8217.2418299035908</v>
      </c>
      <c r="I207" s="76">
        <f>SUM(I202:I206)</f>
        <v>1705.7242581400001</v>
      </c>
      <c r="J207" s="447"/>
    </row>
    <row r="208" spans="1:10" ht="13" x14ac:dyDescent="0.3">
      <c r="A208" s="91"/>
      <c r="B208" s="104" t="s">
        <v>42</v>
      </c>
      <c r="C208" s="74"/>
      <c r="D208" s="74"/>
      <c r="E208" s="74"/>
      <c r="F208" s="74"/>
      <c r="G208" s="74"/>
      <c r="H208" s="74"/>
      <c r="I208" s="74"/>
      <c r="J208" s="447"/>
    </row>
    <row r="209" spans="1:10" ht="13" x14ac:dyDescent="0.3">
      <c r="A209" s="91"/>
      <c r="B209" s="74"/>
      <c r="C209" s="74"/>
      <c r="D209" s="74"/>
      <c r="E209" s="74"/>
      <c r="F209" s="74"/>
      <c r="G209" s="74"/>
      <c r="H209" s="74"/>
      <c r="I209" s="74"/>
      <c r="J209" s="105"/>
    </row>
    <row r="210" spans="1:10" ht="13" x14ac:dyDescent="0.3">
      <c r="A210" s="91"/>
      <c r="B210" s="74">
        <v>4</v>
      </c>
      <c r="C210" s="74" t="str">
        <f>'Unit tariffs'!B$87</f>
        <v xml:space="preserve">hour-artisan </v>
      </c>
      <c r="D210" s="74"/>
      <c r="E210" s="74"/>
      <c r="F210" s="74"/>
      <c r="G210" s="74"/>
      <c r="H210" s="76">
        <v>1291.4089269230769</v>
      </c>
      <c r="I210" s="76">
        <f>VLOOKUP($C210,'Unit tariffs'!$B$21:$F$123,5,FALSE)*$B210</f>
        <v>1404.7710646153848</v>
      </c>
      <c r="J210" s="105"/>
    </row>
    <row r="211" spans="1:10" ht="13" x14ac:dyDescent="0.3">
      <c r="A211" s="91"/>
      <c r="B211" s="74">
        <v>8</v>
      </c>
      <c r="C211" s="74" t="str">
        <f>'Unit tariffs'!B$85</f>
        <v>hour-artisan assistant</v>
      </c>
      <c r="D211" s="74"/>
      <c r="E211" s="74"/>
      <c r="F211" s="74"/>
      <c r="G211" s="74"/>
      <c r="H211" s="81">
        <v>1028.2864615384617</v>
      </c>
      <c r="I211" s="81">
        <f>VLOOKUP($C211,'Unit tariffs'!$B$21:$F$123,5,FALSE)*$B211</f>
        <v>1118.5940676923078</v>
      </c>
      <c r="J211" s="105"/>
    </row>
    <row r="212" spans="1:10" ht="13" x14ac:dyDescent="0.3">
      <c r="A212" s="91"/>
      <c r="B212" s="74"/>
      <c r="C212" s="74"/>
      <c r="D212" s="74"/>
      <c r="E212" s="74"/>
      <c r="F212" s="74"/>
      <c r="G212" s="74"/>
      <c r="H212" s="76">
        <v>2319.6953884615386</v>
      </c>
      <c r="I212" s="76">
        <f>SUM(I210:I211)</f>
        <v>2523.3651323076929</v>
      </c>
      <c r="J212" s="95"/>
    </row>
    <row r="213" spans="1:10" ht="13" x14ac:dyDescent="0.3">
      <c r="A213" s="91"/>
      <c r="B213" s="104" t="s">
        <v>43</v>
      </c>
      <c r="C213" s="74"/>
      <c r="D213" s="74"/>
      <c r="E213" s="74"/>
      <c r="F213" s="74"/>
      <c r="G213" s="74"/>
      <c r="H213" s="74"/>
      <c r="I213" s="74"/>
      <c r="J213" s="95"/>
    </row>
    <row r="214" spans="1:10" ht="13" x14ac:dyDescent="0.3">
      <c r="A214" s="91"/>
      <c r="B214" s="74"/>
      <c r="C214" s="74"/>
      <c r="D214" s="74"/>
      <c r="E214" s="74"/>
      <c r="F214" s="74"/>
      <c r="G214" s="74"/>
      <c r="H214" s="74"/>
      <c r="I214" s="74"/>
      <c r="J214" s="105"/>
    </row>
    <row r="215" spans="1:10" ht="13" x14ac:dyDescent="0.3">
      <c r="A215" s="91"/>
      <c r="B215" s="74">
        <v>24</v>
      </c>
      <c r="C215" s="74" t="str">
        <f>'Unit tariffs'!B$111</f>
        <v>km-truck with platform</v>
      </c>
      <c r="D215" s="74"/>
      <c r="E215" s="74"/>
      <c r="F215" s="74"/>
      <c r="G215" s="74"/>
      <c r="H215" s="76">
        <v>1010.8920834182238</v>
      </c>
      <c r="I215" s="76">
        <f>VLOOKUP($C215,'Unit tariffs'!$B$21:$F$123,5,FALSE)*$B215</f>
        <v>1182.7997218118533</v>
      </c>
      <c r="J215" s="105"/>
    </row>
    <row r="216" spans="1:10" ht="13" x14ac:dyDescent="0.3">
      <c r="A216" s="91"/>
      <c r="B216" s="74">
        <v>4</v>
      </c>
      <c r="C216" s="74" t="str">
        <f>'Unit tariffs'!B$112</f>
        <v>hour-truck with platform</v>
      </c>
      <c r="D216" s="74"/>
      <c r="E216" s="74"/>
      <c r="F216" s="74"/>
      <c r="G216" s="74"/>
      <c r="H216" s="81">
        <v>819.93766924669251</v>
      </c>
      <c r="I216" s="81">
        <f>VLOOKUP($C216,'Unit tariffs'!$B$21:$F$123,5,FALSE)*$B216</f>
        <v>959.37248198511679</v>
      </c>
      <c r="J216" s="105"/>
    </row>
    <row r="217" spans="1:10" ht="13" x14ac:dyDescent="0.3">
      <c r="A217" s="91"/>
      <c r="B217" s="74"/>
      <c r="C217" s="74"/>
      <c r="D217" s="74"/>
      <c r="E217" s="74"/>
      <c r="F217" s="74"/>
      <c r="G217" s="74"/>
      <c r="H217" s="76">
        <v>1830.8297526649162</v>
      </c>
      <c r="I217" s="76">
        <f>SUM(I215:I216)</f>
        <v>2142.1722037969703</v>
      </c>
      <c r="J217" s="95"/>
    </row>
    <row r="218" spans="1:10" ht="13.5" thickBot="1" x14ac:dyDescent="0.35">
      <c r="A218" s="91"/>
      <c r="B218" s="74"/>
      <c r="C218" s="74"/>
      <c r="D218" s="74"/>
      <c r="E218" s="74"/>
      <c r="F218" s="74"/>
      <c r="G218" s="74"/>
      <c r="H218" s="108"/>
      <c r="I218" s="108"/>
      <c r="J218" s="95"/>
    </row>
    <row r="219" spans="1:10" ht="13.5" thickTop="1" x14ac:dyDescent="0.3">
      <c r="A219" s="91"/>
      <c r="B219" s="74"/>
      <c r="C219" s="74"/>
      <c r="D219" s="74"/>
      <c r="E219" s="74"/>
      <c r="F219" s="74"/>
      <c r="G219" s="76"/>
      <c r="H219" s="76">
        <v>22601.130221030049</v>
      </c>
      <c r="I219" s="76">
        <f>I217+I212+I207+I199</f>
        <v>17934.276431406914</v>
      </c>
      <c r="J219" s="105"/>
    </row>
    <row r="220" spans="1:10" ht="13.5" thickBot="1" x14ac:dyDescent="0.35">
      <c r="A220" s="91"/>
      <c r="B220" s="104" t="str">
        <f>'Unit tariffs'!$B$7</f>
        <v>Administration Levy (Indirect Cost)</v>
      </c>
      <c r="C220" s="74"/>
      <c r="D220" s="106">
        <f>'Unit tariffs'!$C$7</f>
        <v>0.1</v>
      </c>
      <c r="E220" s="74" t="s">
        <v>311</v>
      </c>
      <c r="F220" s="186">
        <f>+'Unit tariffs'!$F$7</f>
        <v>10000</v>
      </c>
      <c r="G220" s="76"/>
      <c r="H220" s="108">
        <v>2260.1130221030048</v>
      </c>
      <c r="I220" s="108">
        <f>IF(I219*$D220&gt;='Unit tariffs'!$E$7,'Unit tariffs'!$E$7,I219*$D220)</f>
        <v>1793.4276431406915</v>
      </c>
      <c r="J220" s="105"/>
    </row>
    <row r="221" spans="1:10" ht="13.5" thickTop="1" x14ac:dyDescent="0.3">
      <c r="A221" s="91"/>
      <c r="B221" s="104" t="s">
        <v>44</v>
      </c>
      <c r="C221" s="74"/>
      <c r="D221" s="74"/>
      <c r="E221" s="74"/>
      <c r="F221" s="74"/>
      <c r="G221" s="76"/>
      <c r="H221" s="109">
        <v>24861.243243133053</v>
      </c>
      <c r="I221" s="109">
        <f>SUM(I219:I220)</f>
        <v>19727.704074547604</v>
      </c>
      <c r="J221" s="105"/>
    </row>
    <row r="222" spans="1:10" ht="13" x14ac:dyDescent="0.3">
      <c r="A222" s="91"/>
      <c r="B222" s="104"/>
      <c r="C222" s="74"/>
      <c r="D222" s="74"/>
      <c r="E222" s="74"/>
      <c r="F222" s="74"/>
      <c r="G222" s="76"/>
      <c r="H222" s="76"/>
      <c r="I222" s="76"/>
      <c r="J222" s="105"/>
    </row>
    <row r="223" spans="1:10" ht="13" x14ac:dyDescent="0.3">
      <c r="A223" s="91"/>
      <c r="B223" s="104" t="s">
        <v>45</v>
      </c>
      <c r="C223" s="74"/>
      <c r="D223" s="74"/>
      <c r="E223" s="74"/>
      <c r="F223" s="74"/>
      <c r="G223" s="74"/>
      <c r="H223" s="84">
        <v>24860</v>
      </c>
      <c r="I223" s="84">
        <f>ROUND(I221,-1)</f>
        <v>19730</v>
      </c>
      <c r="J223" s="105"/>
    </row>
    <row r="224" spans="1:10" ht="13" x14ac:dyDescent="0.3">
      <c r="A224" s="91"/>
      <c r="H224" s="76"/>
      <c r="I224" s="76"/>
      <c r="J224" s="105"/>
    </row>
    <row r="225" spans="1:10" ht="13" x14ac:dyDescent="0.3">
      <c r="A225" s="91"/>
      <c r="B225" s="74"/>
      <c r="C225" s="74"/>
      <c r="D225" s="74"/>
      <c r="E225" s="74"/>
      <c r="F225" s="74"/>
      <c r="G225" s="74"/>
      <c r="H225" s="112">
        <v>0</v>
      </c>
      <c r="I225" s="112">
        <f>(I223-H223)/H223</f>
        <v>-0.20635559131134351</v>
      </c>
      <c r="J225" s="105"/>
    </row>
    <row r="226" spans="1:10" ht="13.5" thickBot="1" x14ac:dyDescent="0.35">
      <c r="A226" s="448"/>
      <c r="B226" s="74"/>
      <c r="C226" s="74"/>
      <c r="D226" s="74"/>
      <c r="E226" s="74"/>
      <c r="F226" s="74"/>
      <c r="G226" s="74"/>
      <c r="H226" s="123"/>
      <c r="I226" s="123"/>
      <c r="J226" s="105"/>
    </row>
    <row r="227" spans="1:10" ht="13.5" thickTop="1" x14ac:dyDescent="0.3">
      <c r="A227" s="91"/>
      <c r="B227" s="120" t="s">
        <v>1</v>
      </c>
      <c r="C227" s="120"/>
      <c r="D227" s="120"/>
      <c r="E227" s="120"/>
      <c r="F227" s="120"/>
      <c r="G227" s="120"/>
      <c r="H227" s="120"/>
      <c r="I227" s="120"/>
      <c r="J227" s="110"/>
    </row>
    <row r="228" spans="1:10" ht="22.25" customHeight="1" x14ac:dyDescent="0.3">
      <c r="A228" s="91"/>
      <c r="B228" s="92" t="s">
        <v>692</v>
      </c>
      <c r="C228" s="93"/>
      <c r="D228" s="93"/>
      <c r="E228" s="93"/>
      <c r="F228" s="93"/>
      <c r="G228" s="94"/>
      <c r="H228" s="132" t="s">
        <v>693</v>
      </c>
      <c r="I228" s="132" t="s">
        <v>693</v>
      </c>
      <c r="J228" s="105"/>
    </row>
    <row r="229" spans="1:10" ht="13" x14ac:dyDescent="0.3">
      <c r="A229" s="91"/>
      <c r="B229" s="74"/>
      <c r="C229" s="74"/>
      <c r="D229" s="74"/>
      <c r="E229" s="74"/>
      <c r="F229" s="74"/>
      <c r="G229" s="74"/>
      <c r="H229" s="103" t="str">
        <f>+'Unit tariffs'!$E$11</f>
        <v>2025/2026</v>
      </c>
      <c r="I229" s="103" t="str">
        <f>+'Unit tariffs'!$F$11</f>
        <v>2026/2027</v>
      </c>
      <c r="J229" s="113"/>
    </row>
    <row r="230" spans="1:10" ht="13" x14ac:dyDescent="0.3">
      <c r="A230" s="91"/>
      <c r="B230" s="74"/>
      <c r="C230" s="74"/>
      <c r="D230" s="74"/>
      <c r="E230" s="74"/>
      <c r="F230" s="74"/>
      <c r="G230" s="74"/>
      <c r="H230" s="127"/>
      <c r="I230" s="127"/>
      <c r="J230" s="95"/>
    </row>
    <row r="231" spans="1:10" ht="13" x14ac:dyDescent="0.3">
      <c r="A231" s="91"/>
      <c r="B231" s="104" t="s">
        <v>117</v>
      </c>
      <c r="C231" s="74"/>
      <c r="D231" s="74"/>
      <c r="E231" s="74"/>
      <c r="F231" s="74"/>
      <c r="G231" s="74"/>
      <c r="H231" s="127"/>
      <c r="I231" s="127"/>
      <c r="J231" s="95"/>
    </row>
    <row r="232" spans="1:10" ht="13.25" customHeight="1" x14ac:dyDescent="0.3">
      <c r="A232" s="91"/>
      <c r="B232" s="74" t="s">
        <v>118</v>
      </c>
      <c r="C232" s="74"/>
      <c r="D232" s="74"/>
      <c r="E232" s="74"/>
      <c r="F232" s="74"/>
      <c r="G232" s="74"/>
      <c r="H232" s="127"/>
      <c r="I232" s="127"/>
      <c r="J232" s="95"/>
    </row>
    <row r="233" spans="1:10" s="646" customFormat="1" ht="13.25" customHeight="1" x14ac:dyDescent="0.3">
      <c r="A233" s="91"/>
      <c r="B233" s="74">
        <v>2.5</v>
      </c>
      <c r="C233" s="74" t="str">
        <f>'Unit tariffs'!B132</f>
        <v>Secondary Backbone - MV Urban</v>
      </c>
      <c r="D233" s="74"/>
      <c r="E233" s="74"/>
      <c r="F233" s="74"/>
      <c r="G233" s="74"/>
      <c r="H233" s="76">
        <v>2432.8562500000003</v>
      </c>
      <c r="I233" s="76">
        <f>VLOOKUP($C233,'Unit tariffs'!$B$21:$F$158,5,FALSE)*$B233</f>
        <v>2748.9645611312508</v>
      </c>
      <c r="J233" s="95"/>
    </row>
    <row r="234" spans="1:10" ht="13" x14ac:dyDescent="0.3">
      <c r="A234" s="91"/>
      <c r="B234" s="74">
        <v>2.5</v>
      </c>
      <c r="C234" s="74" t="str">
        <f>'Unit tariffs'!B$139</f>
        <v>Secondary Backbone - LV Peri Urban</v>
      </c>
      <c r="D234" s="74"/>
      <c r="E234" s="74"/>
      <c r="F234" s="74" t="str">
        <f>'Unit tariffs'!C$138</f>
        <v>per kVA</v>
      </c>
      <c r="G234" s="74"/>
      <c r="H234" s="81">
        <v>4384.5560000000014</v>
      </c>
      <c r="I234" s="81">
        <f>VLOOKUP($C234,'Unit tariffs'!$B$21:$F$158,5,FALSE)*$B234</f>
        <v>4954.2545147480005</v>
      </c>
      <c r="J234" s="95"/>
    </row>
    <row r="235" spans="1:10" ht="13" x14ac:dyDescent="0.3">
      <c r="A235" s="91"/>
      <c r="B235" s="74"/>
      <c r="C235" s="74"/>
      <c r="D235" s="74"/>
      <c r="E235" s="74"/>
      <c r="F235" s="74"/>
      <c r="G235" s="74"/>
      <c r="H235" s="76">
        <v>6817.4122500000012</v>
      </c>
      <c r="I235" s="76">
        <f>SUM(I233:I234)</f>
        <v>7703.2190758792512</v>
      </c>
      <c r="J235" s="450"/>
    </row>
    <row r="236" spans="1:10" ht="13" x14ac:dyDescent="0.3">
      <c r="A236" s="91"/>
      <c r="B236" s="104" t="s">
        <v>41</v>
      </c>
      <c r="C236" s="74"/>
      <c r="D236" s="74"/>
      <c r="E236" s="74"/>
      <c r="F236" s="74"/>
      <c r="G236" s="74"/>
      <c r="H236" s="74"/>
      <c r="I236" s="74"/>
      <c r="J236" s="95"/>
    </row>
    <row r="237" spans="1:10" ht="13" x14ac:dyDescent="0.3">
      <c r="A237" s="91"/>
      <c r="B237" s="74"/>
      <c r="C237" s="74"/>
      <c r="D237" s="74"/>
      <c r="E237" s="74"/>
      <c r="F237" s="74"/>
      <c r="G237" s="74"/>
      <c r="H237" s="74"/>
      <c r="I237" s="74"/>
      <c r="J237" s="444" t="s">
        <v>313</v>
      </c>
    </row>
    <row r="238" spans="1:10" ht="13" x14ac:dyDescent="0.3">
      <c r="A238" s="91"/>
      <c r="B238" s="74">
        <v>1</v>
      </c>
      <c r="C238" t="s">
        <v>312</v>
      </c>
      <c r="D238" s="74"/>
      <c r="E238" s="74"/>
      <c r="F238" s="74"/>
      <c r="G238" s="74"/>
      <c r="H238" s="76">
        <v>5538.1406043608804</v>
      </c>
      <c r="I238" s="76">
        <f>VLOOKUP($C238,'Unit tariffs'!$B$21:$F$123,5,FALSE)*$B238</f>
        <v>0</v>
      </c>
      <c r="J238" s="457" t="e">
        <f>IF(+I238*'Unit tariffs'!#REF!&gt;'Unit tariffs'!#REF!,'Unit tariffs'!#REF!,+I238*'Unit tariffs'!#REF!)</f>
        <v>#REF!</v>
      </c>
    </row>
    <row r="239" spans="1:10" ht="13" x14ac:dyDescent="0.3">
      <c r="A239" s="91"/>
      <c r="B239" s="74">
        <v>1</v>
      </c>
      <c r="C239" s="600" t="str">
        <f>'Unit tariffs'!B47</f>
        <v>Modum for TOU meter</v>
      </c>
      <c r="D239" s="74"/>
      <c r="E239" s="74"/>
      <c r="F239" s="74"/>
      <c r="G239" s="74"/>
      <c r="H239" s="76">
        <v>3707.5418271871995</v>
      </c>
      <c r="I239" s="76">
        <f>VLOOKUP($C239,'Unit tariffs'!$B$21:$F$123,5,FALSE)*$B239</f>
        <v>338.07595359999993</v>
      </c>
      <c r="J239" s="457"/>
    </row>
    <row r="240" spans="1:10" ht="13" x14ac:dyDescent="0.3">
      <c r="A240" s="91"/>
      <c r="B240" s="74">
        <v>3</v>
      </c>
      <c r="C240" s="74" t="str">
        <f>'Unit tariffs'!B43</f>
        <v>x 80 A circuit breaker (5kA) - Orange</v>
      </c>
      <c r="D240" s="74"/>
      <c r="E240" s="74"/>
      <c r="F240" s="74"/>
      <c r="G240" s="74"/>
      <c r="H240" s="76">
        <v>587.413658244972</v>
      </c>
      <c r="I240" s="76">
        <f>VLOOKUP($C240,'Unit tariffs'!$B$21:$F$123,5,FALSE)*$B240</f>
        <v>0</v>
      </c>
      <c r="J240" s="457" t="e">
        <f>IF(+I240*'Unit tariffs'!#REF!&gt;'Unit tariffs'!#REF!,'Unit tariffs'!#REF!,+I240*'Unit tariffs'!#REF!)</f>
        <v>#REF!</v>
      </c>
    </row>
    <row r="241" spans="1:10" ht="13" x14ac:dyDescent="0.3">
      <c r="A241" s="91"/>
      <c r="B241" s="74">
        <v>1</v>
      </c>
      <c r="C241" s="74" t="str">
        <f>'Unit tariffs'!B72</f>
        <v>Cable clamp (Clampex) - K26</v>
      </c>
      <c r="D241" s="74"/>
      <c r="E241" s="74"/>
      <c r="F241" s="74"/>
      <c r="G241" s="74"/>
      <c r="H241" s="76">
        <v>34.833456142903692</v>
      </c>
      <c r="I241" s="76">
        <f>VLOOKUP($C241,'Unit tariffs'!$B$21:$F$123,5,FALSE)*$B241</f>
        <v>1423.2410081400001</v>
      </c>
      <c r="J241" s="457" t="e">
        <f>IF(+I241*'Unit tariffs'!#REF!&gt;'Unit tariffs'!#REF!,'Unit tariffs'!#REF!,+I241*'Unit tariffs'!#REF!)</f>
        <v>#REF!</v>
      </c>
    </row>
    <row r="242" spans="1:10" ht="13" x14ac:dyDescent="0.3">
      <c r="A242" s="91"/>
      <c r="B242" s="74">
        <v>0</v>
      </c>
      <c r="C242" s="74" t="str">
        <f>'Unit tariffs'!B56</f>
        <v>m 16 mm x 4 Cu cable</v>
      </c>
      <c r="D242" s="74"/>
      <c r="E242" s="74"/>
      <c r="F242" s="74"/>
      <c r="G242" s="74"/>
      <c r="H242" s="76">
        <v>0</v>
      </c>
      <c r="I242" s="76">
        <f>VLOOKUP($C242,'Unit tariffs'!$B$21:$F$123,5,FALSE)*$B242</f>
        <v>0</v>
      </c>
      <c r="J242" s="457" t="e">
        <f>IF(+I242*'Unit tariffs'!#REF!&gt;'Unit tariffs'!#REF!,'Unit tariffs'!#REF!,+I242*'Unit tariffs'!#REF!)</f>
        <v>#REF!</v>
      </c>
    </row>
    <row r="243" spans="1:10" ht="13" x14ac:dyDescent="0.3">
      <c r="A243" s="91"/>
      <c r="B243" s="74">
        <v>1</v>
      </c>
      <c r="C243" s="74" t="str">
        <f>'Unit tariffs'!B21</f>
        <v>Installation material</v>
      </c>
      <c r="D243" s="74"/>
      <c r="E243" s="74"/>
      <c r="F243" s="74"/>
      <c r="G243" s="74"/>
      <c r="H243" s="81">
        <v>271.44100000000003</v>
      </c>
      <c r="I243" s="81">
        <f>VLOOKUP($C243,'Unit tariffs'!$B$21:$F$123,5,FALSE)*$B243</f>
        <v>282.48325</v>
      </c>
      <c r="J243" s="457" t="e">
        <f>IF(+I243*'Unit tariffs'!#REF!&gt;'Unit tariffs'!#REF!,'Unit tariffs'!#REF!,+I243*'Unit tariffs'!#REF!)</f>
        <v>#REF!</v>
      </c>
    </row>
    <row r="244" spans="1:10" ht="21.75" customHeight="1" x14ac:dyDescent="0.3">
      <c r="A244" s="91"/>
      <c r="B244" s="74"/>
      <c r="C244" s="74"/>
      <c r="D244" s="74"/>
      <c r="E244" s="74"/>
      <c r="F244" s="74"/>
      <c r="G244" s="76"/>
      <c r="H244" s="76">
        <v>10139.370545935957</v>
      </c>
      <c r="I244" s="76">
        <f>SUM(I238:I243)</f>
        <v>2043.8002117399999</v>
      </c>
      <c r="J244" s="95"/>
    </row>
    <row r="245" spans="1:10" ht="13" x14ac:dyDescent="0.3">
      <c r="A245" s="91"/>
      <c r="B245" s="104" t="s">
        <v>42</v>
      </c>
      <c r="C245" s="74"/>
      <c r="D245" s="74"/>
      <c r="E245" s="74"/>
      <c r="F245" s="74"/>
      <c r="G245" s="74"/>
      <c r="H245" s="74"/>
      <c r="I245" s="74"/>
      <c r="J245" s="444"/>
    </row>
    <row r="246" spans="1:10" ht="13" x14ac:dyDescent="0.3">
      <c r="A246" s="91"/>
      <c r="B246" s="74"/>
      <c r="C246" s="74"/>
      <c r="D246" s="74"/>
      <c r="E246" s="74"/>
      <c r="F246" s="74"/>
      <c r="G246" s="74"/>
      <c r="H246" s="74"/>
      <c r="I246" s="74"/>
      <c r="J246" s="95"/>
    </row>
    <row r="247" spans="1:10" ht="13" x14ac:dyDescent="0.3">
      <c r="A247" s="91"/>
      <c r="B247" s="74">
        <v>5</v>
      </c>
      <c r="C247" s="74" t="str">
        <f>'Unit tariffs'!B$87</f>
        <v xml:space="preserve">hour-artisan </v>
      </c>
      <c r="D247" s="74"/>
      <c r="E247" s="74"/>
      <c r="F247" s="74"/>
      <c r="G247" s="74"/>
      <c r="H247" s="76">
        <v>1614.2611586538462</v>
      </c>
      <c r="I247" s="76">
        <f>VLOOKUP($C247,'Unit tariffs'!$B$21:$F$123,5,FALSE)*$B247</f>
        <v>1755.963830769231</v>
      </c>
      <c r="J247" s="95"/>
    </row>
    <row r="248" spans="1:10" ht="13" x14ac:dyDescent="0.3">
      <c r="A248" s="91"/>
      <c r="B248" s="74">
        <v>10</v>
      </c>
      <c r="C248" s="74" t="str">
        <f>'Unit tariffs'!B$85</f>
        <v>hour-artisan assistant</v>
      </c>
      <c r="D248" s="74"/>
      <c r="E248" s="74"/>
      <c r="F248" s="74"/>
      <c r="G248" s="74"/>
      <c r="H248" s="81">
        <v>1285.3580769230771</v>
      </c>
      <c r="I248" s="81">
        <f>VLOOKUP($C248,'Unit tariffs'!$B$21:$F$123,5,FALSE)*$B248</f>
        <v>1398.2425846153847</v>
      </c>
      <c r="J248" s="447"/>
    </row>
    <row r="249" spans="1:10" ht="13" x14ac:dyDescent="0.3">
      <c r="A249" s="91"/>
      <c r="B249" s="74"/>
      <c r="C249" s="74"/>
      <c r="D249" s="74"/>
      <c r="E249" s="74"/>
      <c r="F249" s="74"/>
      <c r="G249" s="74"/>
      <c r="H249" s="76">
        <v>2899.6192355769235</v>
      </c>
      <c r="I249" s="76">
        <f>SUM(I247:I248)</f>
        <v>3154.2064153846159</v>
      </c>
      <c r="J249" s="447"/>
    </row>
    <row r="250" spans="1:10" ht="13" x14ac:dyDescent="0.3">
      <c r="A250" s="91"/>
      <c r="B250" s="104" t="s">
        <v>43</v>
      </c>
      <c r="C250" s="74"/>
      <c r="D250" s="74"/>
      <c r="E250" s="74"/>
      <c r="F250" s="74"/>
      <c r="G250" s="74"/>
      <c r="H250" s="74"/>
      <c r="I250" s="74"/>
      <c r="J250" s="447"/>
    </row>
    <row r="251" spans="1:10" ht="13" x14ac:dyDescent="0.3">
      <c r="A251" s="91"/>
      <c r="B251" s="74"/>
      <c r="C251" s="74"/>
      <c r="D251" s="74"/>
      <c r="E251" s="74"/>
      <c r="F251" s="74"/>
      <c r="G251" s="74"/>
      <c r="H251" s="74"/>
      <c r="I251" s="74"/>
      <c r="J251" s="447"/>
    </row>
    <row r="252" spans="1:10" ht="13" x14ac:dyDescent="0.3">
      <c r="A252" s="91"/>
      <c r="B252" s="74">
        <v>24</v>
      </c>
      <c r="C252" s="74" t="str">
        <f>'Unit tariffs'!B$111</f>
        <v>km-truck with platform</v>
      </c>
      <c r="D252" s="74"/>
      <c r="E252" s="74"/>
      <c r="F252" s="74"/>
      <c r="G252" s="74"/>
      <c r="H252" s="76">
        <v>1010.8920834182238</v>
      </c>
      <c r="I252" s="76">
        <f>VLOOKUP($C252,'Unit tariffs'!$B$21:$F$123,5,FALSE)*$B252</f>
        <v>1182.7997218118533</v>
      </c>
      <c r="J252" s="105"/>
    </row>
    <row r="253" spans="1:10" ht="13" x14ac:dyDescent="0.3">
      <c r="A253" s="91"/>
      <c r="B253" s="74">
        <v>4</v>
      </c>
      <c r="C253" s="74" t="str">
        <f>'Unit tariffs'!B$112</f>
        <v>hour-truck with platform</v>
      </c>
      <c r="D253" s="74"/>
      <c r="E253" s="74"/>
      <c r="F253" s="74"/>
      <c r="G253" s="74"/>
      <c r="H253" s="81">
        <v>819.93766924669251</v>
      </c>
      <c r="I253" s="81">
        <f>VLOOKUP($C253,'Unit tariffs'!$B$21:$F$123,5,FALSE)*$B253</f>
        <v>959.37248198511679</v>
      </c>
      <c r="J253" s="105"/>
    </row>
    <row r="254" spans="1:10" ht="13" x14ac:dyDescent="0.3">
      <c r="A254" s="91"/>
      <c r="B254" s="74"/>
      <c r="C254" s="74"/>
      <c r="D254" s="74"/>
      <c r="E254" s="74"/>
      <c r="F254" s="74"/>
      <c r="G254" s="74"/>
      <c r="H254" s="76">
        <v>1830.8297526649162</v>
      </c>
      <c r="I254" s="76">
        <f>SUM(I252:I253)</f>
        <v>2142.1722037969703</v>
      </c>
      <c r="J254" s="105"/>
    </row>
    <row r="255" spans="1:10" ht="13.5" thickBot="1" x14ac:dyDescent="0.35">
      <c r="A255" s="91"/>
      <c r="B255" s="74"/>
      <c r="C255" s="74"/>
      <c r="D255" s="74"/>
      <c r="E255" s="74"/>
      <c r="F255" s="74"/>
      <c r="G255" s="74"/>
      <c r="H255" s="108"/>
      <c r="I255" s="108"/>
      <c r="J255" s="95"/>
    </row>
    <row r="256" spans="1:10" ht="13.5" thickTop="1" x14ac:dyDescent="0.3">
      <c r="A256" s="91"/>
      <c r="B256" s="74"/>
      <c r="C256" s="74"/>
      <c r="D256" s="74"/>
      <c r="E256" s="74"/>
      <c r="F256" s="74"/>
      <c r="G256" s="76"/>
      <c r="H256" s="76">
        <v>21687.231784177799</v>
      </c>
      <c r="I256" s="76">
        <f>I254+I249+I244+I235</f>
        <v>15043.397906800838</v>
      </c>
      <c r="J256" s="95"/>
    </row>
    <row r="257" spans="1:10" ht="13.5" thickBot="1" x14ac:dyDescent="0.35">
      <c r="A257" s="91"/>
      <c r="B257" s="104" t="str">
        <f>'Unit tariffs'!$B$7</f>
        <v>Administration Levy (Indirect Cost)</v>
      </c>
      <c r="C257" s="74"/>
      <c r="D257" s="106">
        <f>'Unit tariffs'!$C$7</f>
        <v>0.1</v>
      </c>
      <c r="E257" s="74" t="s">
        <v>311</v>
      </c>
      <c r="F257" s="186">
        <f>+'Unit tariffs'!$F$7</f>
        <v>10000</v>
      </c>
      <c r="G257" s="76"/>
      <c r="H257" s="108">
        <v>2168.7231784177798</v>
      </c>
      <c r="I257" s="108">
        <f>IF(I256*$D257&gt;='Unit tariffs'!$E$7,'Unit tariffs'!$E$7,I256*$D257)</f>
        <v>1504.3397906800838</v>
      </c>
      <c r="J257" s="105"/>
    </row>
    <row r="258" spans="1:10" ht="13.5" thickTop="1" x14ac:dyDescent="0.3">
      <c r="A258" s="91"/>
      <c r="B258" s="104" t="s">
        <v>44</v>
      </c>
      <c r="C258" s="74"/>
      <c r="D258" s="74"/>
      <c r="E258" s="74"/>
      <c r="F258" s="74"/>
      <c r="G258" s="76"/>
      <c r="H258" s="109">
        <v>23855.954962595577</v>
      </c>
      <c r="I258" s="109">
        <f>SUM(I256:I257)</f>
        <v>16547.737697480923</v>
      </c>
      <c r="J258" s="105"/>
    </row>
    <row r="259" spans="1:10" ht="13" x14ac:dyDescent="0.3">
      <c r="A259" s="91"/>
      <c r="B259" s="104"/>
      <c r="C259" s="74"/>
      <c r="D259" s="74"/>
      <c r="E259" s="74"/>
      <c r="F259" s="74"/>
      <c r="G259" s="76"/>
      <c r="H259" s="76"/>
      <c r="I259" s="76"/>
      <c r="J259" s="105"/>
    </row>
    <row r="260" spans="1:10" ht="13" x14ac:dyDescent="0.3">
      <c r="A260" s="91"/>
      <c r="B260" s="104" t="s">
        <v>45</v>
      </c>
      <c r="H260" s="84">
        <v>23860</v>
      </c>
      <c r="I260" s="84">
        <f>ROUND(I258,-1)</f>
        <v>16550</v>
      </c>
      <c r="J260" s="95"/>
    </row>
    <row r="261" spans="1:10" ht="13" x14ac:dyDescent="0.3">
      <c r="A261" s="91"/>
      <c r="C261" s="74"/>
      <c r="D261" s="74"/>
      <c r="E261" s="74"/>
      <c r="F261" s="74"/>
      <c r="G261" s="74"/>
      <c r="H261" s="76"/>
      <c r="I261" s="76"/>
      <c r="J261" s="95"/>
    </row>
    <row r="262" spans="1:10" ht="13" x14ac:dyDescent="0.3">
      <c r="A262" s="91"/>
      <c r="B262" s="74"/>
      <c r="C262" s="74"/>
      <c r="D262" s="74"/>
      <c r="E262" s="74"/>
      <c r="F262" s="74"/>
      <c r="G262" s="74"/>
      <c r="H262" s="112">
        <v>0</v>
      </c>
      <c r="I262" s="112">
        <f>(I260-H260)/H260</f>
        <v>-0.30637049455155069</v>
      </c>
      <c r="J262" s="105"/>
    </row>
    <row r="263" spans="1:10" ht="13" x14ac:dyDescent="0.3">
      <c r="A263" s="91"/>
      <c r="B263" s="74"/>
      <c r="C263" s="74"/>
      <c r="D263" s="74"/>
      <c r="E263" s="74"/>
      <c r="F263" s="74"/>
      <c r="G263" s="74"/>
      <c r="H263" s="112"/>
      <c r="I263" s="112"/>
      <c r="J263" s="105"/>
    </row>
    <row r="264" spans="1:10" ht="13" x14ac:dyDescent="0.3">
      <c r="A264" s="91"/>
      <c r="B264" s="74"/>
      <c r="C264" s="74"/>
      <c r="D264" s="74"/>
      <c r="E264" s="74"/>
      <c r="F264" s="74"/>
      <c r="G264" s="74"/>
      <c r="H264" s="74"/>
      <c r="I264" s="74"/>
      <c r="J264" s="105"/>
    </row>
    <row r="265" spans="1:10" ht="21.5" customHeight="1" x14ac:dyDescent="0.3">
      <c r="A265" s="91"/>
      <c r="B265" s="92" t="s">
        <v>694</v>
      </c>
      <c r="C265" s="824"/>
      <c r="D265" s="824"/>
      <c r="E265" s="824"/>
      <c r="F265" s="824"/>
      <c r="G265" s="825"/>
      <c r="H265" s="132" t="s">
        <v>693</v>
      </c>
      <c r="I265" s="132" t="s">
        <v>693</v>
      </c>
      <c r="J265" s="105"/>
    </row>
    <row r="266" spans="1:10" ht="13" x14ac:dyDescent="0.3">
      <c r="A266" s="91"/>
      <c r="B266" s="74"/>
      <c r="C266" s="74"/>
      <c r="D266" s="74"/>
      <c r="E266" s="74"/>
      <c r="F266" s="74"/>
      <c r="G266" s="74"/>
      <c r="H266" s="103" t="str">
        <f>+'Unit tariffs'!$E$11</f>
        <v>2025/2026</v>
      </c>
      <c r="I266" s="103" t="str">
        <f>+'Unit tariffs'!$F$11</f>
        <v>2026/2027</v>
      </c>
      <c r="J266" s="105"/>
    </row>
    <row r="267" spans="1:10" ht="13" x14ac:dyDescent="0.3">
      <c r="A267" s="91"/>
      <c r="B267" s="74"/>
      <c r="C267" s="74"/>
      <c r="D267" s="74"/>
      <c r="E267" s="74"/>
      <c r="F267" s="74"/>
      <c r="G267" s="74"/>
      <c r="H267" s="127"/>
      <c r="I267" s="127"/>
      <c r="J267" s="105"/>
    </row>
    <row r="268" spans="1:10" ht="13" x14ac:dyDescent="0.3">
      <c r="A268" s="91"/>
      <c r="B268" s="104" t="s">
        <v>117</v>
      </c>
      <c r="C268" s="74"/>
      <c r="D268" s="74"/>
      <c r="E268" s="74"/>
      <c r="F268" s="74"/>
      <c r="G268" s="74"/>
      <c r="H268" s="127"/>
      <c r="I268" s="127"/>
      <c r="J268" s="105"/>
    </row>
    <row r="269" spans="1:10" ht="13" x14ac:dyDescent="0.3">
      <c r="A269" s="91"/>
      <c r="B269" s="74" t="s">
        <v>118</v>
      </c>
      <c r="C269" s="74"/>
      <c r="D269" s="74"/>
      <c r="E269" s="74"/>
      <c r="F269" s="74"/>
      <c r="G269" s="74"/>
      <c r="H269" s="127"/>
      <c r="I269" s="127"/>
      <c r="J269" s="95"/>
    </row>
    <row r="270" spans="1:10" s="709" customFormat="1" ht="13" x14ac:dyDescent="0.3">
      <c r="A270" s="714"/>
      <c r="B270" s="74">
        <v>2.5</v>
      </c>
      <c r="C270" s="74" t="str">
        <f>'Unit tariffs'!B138</f>
        <v>Secondary Backbone - MV Peri Urban</v>
      </c>
      <c r="D270" s="74"/>
      <c r="E270" s="74"/>
      <c r="F270" s="74"/>
      <c r="G270" s="74"/>
      <c r="H270" s="76">
        <v>2672.7387500000004</v>
      </c>
      <c r="I270" s="76">
        <f>VLOOKUP($C270,'Unit tariffs'!$B$21:$F$158,5,FALSE)*$B270</f>
        <v>3020.01571400375</v>
      </c>
      <c r="J270" s="715"/>
    </row>
    <row r="271" spans="1:10" ht="13" x14ac:dyDescent="0.3">
      <c r="A271" s="91"/>
      <c r="B271" s="74">
        <v>2.5</v>
      </c>
      <c r="C271" s="74" t="str">
        <f>'Unit tariffs'!B$139</f>
        <v>Secondary Backbone - LV Peri Urban</v>
      </c>
      <c r="D271" s="74"/>
      <c r="E271" s="74"/>
      <c r="F271" s="74" t="str">
        <f>'Unit tariffs'!C$138</f>
        <v>per kVA</v>
      </c>
      <c r="G271" s="74"/>
      <c r="H271" s="81">
        <v>4384.5560000000014</v>
      </c>
      <c r="I271" s="81">
        <f>VLOOKUP($C271,'Unit tariffs'!$B$21:$F$158,5,FALSE)*$B271</f>
        <v>4954.2545147480005</v>
      </c>
      <c r="J271" s="110"/>
    </row>
    <row r="272" spans="1:10" ht="13" x14ac:dyDescent="0.3">
      <c r="A272" s="91"/>
      <c r="B272" s="74"/>
      <c r="C272" s="74"/>
      <c r="D272" s="74"/>
      <c r="E272" s="74"/>
      <c r="F272" s="74"/>
      <c r="G272" s="74"/>
      <c r="H272" s="76">
        <v>7057.2947500000018</v>
      </c>
      <c r="I272" s="76">
        <f>SUM(I270:I271)</f>
        <v>7974.2702287517504</v>
      </c>
      <c r="J272" s="105"/>
    </row>
    <row r="273" spans="1:10" ht="13" x14ac:dyDescent="0.3">
      <c r="A273" s="91"/>
      <c r="B273" s="104" t="s">
        <v>41</v>
      </c>
      <c r="C273" s="74"/>
      <c r="D273" s="74"/>
      <c r="E273" s="74"/>
      <c r="F273" s="74"/>
      <c r="G273" s="74"/>
      <c r="H273" s="74"/>
      <c r="I273" s="74"/>
      <c r="J273" s="113"/>
    </row>
    <row r="274" spans="1:10" ht="13" x14ac:dyDescent="0.3">
      <c r="A274" s="91"/>
      <c r="B274" s="74"/>
      <c r="C274" s="74"/>
      <c r="D274" s="74"/>
      <c r="E274" s="74"/>
      <c r="F274" s="74"/>
      <c r="G274" s="74"/>
      <c r="H274" s="74"/>
      <c r="I274" s="74"/>
      <c r="J274" s="444" t="s">
        <v>313</v>
      </c>
    </row>
    <row r="275" spans="1:10" ht="13" x14ac:dyDescent="0.3">
      <c r="A275" s="91"/>
      <c r="B275" s="74">
        <v>1</v>
      </c>
      <c r="C275" s="74" t="str">
        <f>'Unit tariffs'!B36</f>
        <v xml:space="preserve">Prepaid meter (Split) 3 phase - </v>
      </c>
      <c r="D275" s="74"/>
      <c r="E275" s="74"/>
      <c r="F275" s="74"/>
      <c r="G275" s="74"/>
      <c r="H275" s="189">
        <v>7323.5537155157153</v>
      </c>
      <c r="I275" s="189">
        <f>VLOOKUP($C275,'Unit tariffs'!$B$21:$F$123,5,FALSE)*$B275</f>
        <v>0</v>
      </c>
      <c r="J275" s="447" t="e">
        <f>IF(+I275*'Unit tariffs'!#REF!&gt;'Unit tariffs'!#REF!,'Unit tariffs'!#REF!,+I275*'Unit tariffs'!#REF!)</f>
        <v>#REF!</v>
      </c>
    </row>
    <row r="276" spans="1:10" ht="13.25" customHeight="1" x14ac:dyDescent="0.3">
      <c r="A276" s="91"/>
      <c r="B276" s="74">
        <v>3</v>
      </c>
      <c r="C276" s="74" t="str">
        <f>'Unit tariffs'!B43</f>
        <v>x 80 A circuit breaker (5kA) - Orange</v>
      </c>
      <c r="D276" s="74"/>
      <c r="E276" s="74"/>
      <c r="F276" s="74"/>
      <c r="G276" s="74"/>
      <c r="H276" s="76">
        <v>587.413658244972</v>
      </c>
      <c r="I276" s="76">
        <f>VLOOKUP($C276,'Unit tariffs'!$B$21:$F$123,5,FALSE)*$B276</f>
        <v>0</v>
      </c>
      <c r="J276" s="447" t="e">
        <f>IF(+I276*'Unit tariffs'!#REF!&gt;'Unit tariffs'!#REF!,'Unit tariffs'!#REF!,+I276*'Unit tariffs'!#REF!)</f>
        <v>#REF!</v>
      </c>
    </row>
    <row r="277" spans="1:10" ht="13" x14ac:dyDescent="0.3">
      <c r="A277" s="91"/>
      <c r="B277" s="74">
        <v>1</v>
      </c>
      <c r="C277" s="74" t="str">
        <f>'Unit tariffs'!B72</f>
        <v>Cable clamp (Clampex) - K26</v>
      </c>
      <c r="D277" s="74"/>
      <c r="E277" s="74"/>
      <c r="F277" s="74"/>
      <c r="G277" s="74"/>
      <c r="H277" s="76">
        <v>34.833456142903692</v>
      </c>
      <c r="I277" s="76">
        <f>VLOOKUP($C277,'Unit tariffs'!$B$21:$F$123,5,FALSE)*$B277</f>
        <v>1423.2410081400001</v>
      </c>
      <c r="J277" s="447" t="e">
        <f>IF(+I277*'Unit tariffs'!#REF!&gt;'Unit tariffs'!#REF!,'Unit tariffs'!#REF!,+I277*'Unit tariffs'!#REF!)</f>
        <v>#REF!</v>
      </c>
    </row>
    <row r="278" spans="1:10" ht="15" customHeight="1" x14ac:dyDescent="0.3">
      <c r="A278" s="91"/>
      <c r="B278" s="85">
        <v>0</v>
      </c>
      <c r="C278" s="74" t="str">
        <f>'Unit tariffs'!B56</f>
        <v>m 16 mm x 4 Cu cable</v>
      </c>
      <c r="D278" s="74"/>
      <c r="E278" s="74"/>
      <c r="F278" s="74"/>
      <c r="G278" s="74"/>
      <c r="H278" s="76">
        <v>0</v>
      </c>
      <c r="I278" s="76">
        <f>VLOOKUP($C278,'Unit tariffs'!$B$21:$F$123,5,FALSE)*$B278</f>
        <v>0</v>
      </c>
      <c r="J278" s="447" t="e">
        <f>IF(+I278*'Unit tariffs'!#REF!&gt;'Unit tariffs'!#REF!,'Unit tariffs'!#REF!,+I278*'Unit tariffs'!#REF!)</f>
        <v>#REF!</v>
      </c>
    </row>
    <row r="279" spans="1:10" ht="13" x14ac:dyDescent="0.3">
      <c r="A279" s="91"/>
      <c r="B279" s="74">
        <v>1</v>
      </c>
      <c r="C279" s="74" t="str">
        <f>'Unit tariffs'!B21</f>
        <v>Installation material</v>
      </c>
      <c r="D279" s="74"/>
      <c r="E279" s="74"/>
      <c r="F279" s="74"/>
      <c r="G279" s="74"/>
      <c r="H279" s="81">
        <v>271.44100000000003</v>
      </c>
      <c r="I279" s="81">
        <f>VLOOKUP($C279,'Unit tariffs'!$B$21:$F$123,5,FALSE)*$B279</f>
        <v>282.48325</v>
      </c>
      <c r="J279" s="447" t="e">
        <f>IF(+I279*'Unit tariffs'!#REF!&gt;'Unit tariffs'!#REF!,'Unit tariffs'!#REF!,+I279*'Unit tariffs'!#REF!)</f>
        <v>#REF!</v>
      </c>
    </row>
    <row r="280" spans="1:10" ht="13" x14ac:dyDescent="0.3">
      <c r="A280" s="91"/>
      <c r="B280" s="74"/>
      <c r="C280" s="74"/>
      <c r="D280" s="74"/>
      <c r="E280" s="74"/>
      <c r="F280" s="74"/>
      <c r="G280" s="76"/>
      <c r="H280" s="76">
        <v>8217.2418299035908</v>
      </c>
      <c r="I280" s="76">
        <f>SUM(I275:I279)</f>
        <v>1705.7242581400001</v>
      </c>
      <c r="J280" s="95"/>
    </row>
    <row r="281" spans="1:10" ht="13" x14ac:dyDescent="0.3">
      <c r="A281" s="91"/>
      <c r="B281" s="104" t="s">
        <v>42</v>
      </c>
      <c r="C281" s="74"/>
      <c r="D281" s="74"/>
      <c r="E281" s="74"/>
      <c r="F281" s="74"/>
      <c r="G281" s="74"/>
      <c r="H281" s="74"/>
      <c r="I281" s="74"/>
      <c r="J281" s="95"/>
    </row>
    <row r="282" spans="1:10" ht="13" x14ac:dyDescent="0.3">
      <c r="A282" s="91"/>
      <c r="B282" s="74"/>
      <c r="C282" s="74"/>
      <c r="D282" s="74"/>
      <c r="E282" s="74"/>
      <c r="F282" s="74"/>
      <c r="G282" s="74"/>
      <c r="H282" s="74"/>
      <c r="I282" s="74"/>
      <c r="J282" s="95"/>
    </row>
    <row r="283" spans="1:10" ht="13" x14ac:dyDescent="0.3">
      <c r="A283" s="91"/>
      <c r="B283" s="74">
        <v>4</v>
      </c>
      <c r="C283" s="74" t="str">
        <f>'Unit tariffs'!B$87</f>
        <v xml:space="preserve">hour-artisan </v>
      </c>
      <c r="D283" s="74"/>
      <c r="E283" s="74"/>
      <c r="F283" s="74"/>
      <c r="G283" s="74"/>
      <c r="H283" s="76">
        <v>1291.4089269230769</v>
      </c>
      <c r="I283" s="76">
        <f>VLOOKUP($C283,'Unit tariffs'!$B$21:$F$123,5,FALSE)*$B283</f>
        <v>1404.7710646153848</v>
      </c>
      <c r="J283" s="95"/>
    </row>
    <row r="284" spans="1:10" ht="13" x14ac:dyDescent="0.3">
      <c r="A284" s="91"/>
      <c r="B284" s="74">
        <v>8</v>
      </c>
      <c r="C284" s="74" t="str">
        <f>'Unit tariffs'!B$85</f>
        <v>hour-artisan assistant</v>
      </c>
      <c r="D284" s="74"/>
      <c r="E284" s="74"/>
      <c r="F284" s="74"/>
      <c r="G284" s="74"/>
      <c r="H284" s="81">
        <v>1028.2864615384617</v>
      </c>
      <c r="I284" s="81">
        <f>VLOOKUP($C284,'Unit tariffs'!$B$21:$F$123,5,FALSE)*$B284</f>
        <v>1118.5940676923078</v>
      </c>
      <c r="J284" s="105"/>
    </row>
    <row r="285" spans="1:10" ht="13" x14ac:dyDescent="0.3">
      <c r="A285" s="91"/>
      <c r="B285" s="74"/>
      <c r="C285" s="74"/>
      <c r="D285" s="74"/>
      <c r="E285" s="74"/>
      <c r="F285" s="74"/>
      <c r="G285" s="74"/>
      <c r="H285" s="76">
        <v>2319.6953884615386</v>
      </c>
      <c r="I285" s="76">
        <f>SUM(I283:I284)</f>
        <v>2523.3651323076929</v>
      </c>
      <c r="J285" s="105"/>
    </row>
    <row r="286" spans="1:10" ht="13" x14ac:dyDescent="0.3">
      <c r="A286" s="91"/>
      <c r="B286" s="104" t="s">
        <v>43</v>
      </c>
      <c r="C286" s="74"/>
      <c r="D286" s="74"/>
      <c r="E286" s="74"/>
      <c r="F286" s="74"/>
      <c r="G286" s="74"/>
      <c r="H286" s="74"/>
      <c r="I286" s="74"/>
      <c r="J286" s="105"/>
    </row>
    <row r="287" spans="1:10" ht="13" x14ac:dyDescent="0.3">
      <c r="A287" s="91"/>
      <c r="B287" s="74"/>
      <c r="C287" s="74"/>
      <c r="D287" s="74"/>
      <c r="E287" s="74"/>
      <c r="F287" s="74"/>
      <c r="G287" s="74"/>
      <c r="H287" s="74"/>
      <c r="I287" s="74"/>
      <c r="J287" s="105"/>
    </row>
    <row r="288" spans="1:10" ht="13" x14ac:dyDescent="0.3">
      <c r="A288" s="91"/>
      <c r="B288" s="74">
        <v>24</v>
      </c>
      <c r="C288" s="74" t="str">
        <f>'Unit tariffs'!B$111</f>
        <v>km-truck with platform</v>
      </c>
      <c r="D288" s="74"/>
      <c r="E288" s="74"/>
      <c r="F288" s="74"/>
      <c r="G288" s="74"/>
      <c r="H288" s="76">
        <v>1010.8920834182238</v>
      </c>
      <c r="I288" s="76">
        <f>VLOOKUP($C288,'Unit tariffs'!$B$21:$F$123,5,FALSE)*$B288</f>
        <v>1182.7997218118533</v>
      </c>
      <c r="J288" s="95"/>
    </row>
    <row r="289" spans="1:10" ht="13" x14ac:dyDescent="0.3">
      <c r="A289" s="91"/>
      <c r="B289" s="74">
        <v>4</v>
      </c>
      <c r="C289" s="74" t="str">
        <f>'Unit tariffs'!B$112</f>
        <v>hour-truck with platform</v>
      </c>
      <c r="D289" s="74"/>
      <c r="E289" s="74"/>
      <c r="F289" s="74"/>
      <c r="G289" s="74"/>
      <c r="H289" s="81">
        <v>819.93766924669251</v>
      </c>
      <c r="I289" s="81">
        <f>VLOOKUP($C289,'Unit tariffs'!$B$21:$F$123,5,FALSE)*$B289</f>
        <v>959.37248198511679</v>
      </c>
      <c r="J289" s="95"/>
    </row>
    <row r="290" spans="1:10" ht="13" x14ac:dyDescent="0.3">
      <c r="A290" s="91"/>
      <c r="B290" s="74"/>
      <c r="C290" s="74"/>
      <c r="D290" s="74"/>
      <c r="E290" s="74"/>
      <c r="F290" s="74"/>
      <c r="G290" s="74"/>
      <c r="H290" s="76">
        <v>1830.8297526649162</v>
      </c>
      <c r="I290" s="76">
        <f>SUM(I288:I289)</f>
        <v>2142.1722037969703</v>
      </c>
      <c r="J290" s="105"/>
    </row>
    <row r="291" spans="1:10" ht="13" x14ac:dyDescent="0.3">
      <c r="A291" s="91"/>
      <c r="B291" s="74"/>
      <c r="C291" s="74"/>
      <c r="D291" s="74"/>
      <c r="E291" s="74"/>
      <c r="F291" s="74"/>
      <c r="G291" s="74"/>
      <c r="H291" s="76"/>
      <c r="I291" s="76"/>
      <c r="J291" s="105"/>
    </row>
    <row r="292" spans="1:10" ht="13" x14ac:dyDescent="0.3">
      <c r="A292" s="91"/>
      <c r="B292" s="74"/>
      <c r="C292" s="74"/>
      <c r="D292" s="74"/>
      <c r="E292" s="74"/>
      <c r="F292" s="74"/>
      <c r="G292" s="76"/>
      <c r="H292" s="76">
        <v>19425.061721030048</v>
      </c>
      <c r="I292" s="76">
        <f>I290+I285+I280+I272</f>
        <v>14345.531822996414</v>
      </c>
      <c r="J292" s="105"/>
    </row>
    <row r="293" spans="1:10" ht="13.5" thickBot="1" x14ac:dyDescent="0.35">
      <c r="A293" s="91"/>
      <c r="B293" s="104" t="str">
        <f>'Unit tariffs'!$B$7</f>
        <v>Administration Levy (Indirect Cost)</v>
      </c>
      <c r="C293" s="74"/>
      <c r="D293" s="106">
        <f>'Unit tariffs'!$C$7</f>
        <v>0.1</v>
      </c>
      <c r="E293" s="74" t="s">
        <v>311</v>
      </c>
      <c r="F293" s="186">
        <f>+'Unit tariffs'!$F$7</f>
        <v>10000</v>
      </c>
      <c r="G293" s="76"/>
      <c r="H293" s="108">
        <v>1942.5061721030049</v>
      </c>
      <c r="I293" s="108">
        <f>IF(I292*$D293&gt;='Unit tariffs'!$E$7,'Unit tariffs'!$E$7,I292*$D293)</f>
        <v>1434.5531822996415</v>
      </c>
      <c r="J293" s="105"/>
    </row>
    <row r="294" spans="1:10" ht="13.5" thickTop="1" x14ac:dyDescent="0.3">
      <c r="A294" s="91"/>
      <c r="B294" s="104" t="s">
        <v>44</v>
      </c>
      <c r="C294" s="74"/>
      <c r="D294" s="74"/>
      <c r="E294" s="74"/>
      <c r="F294" s="74"/>
      <c r="G294" s="76"/>
      <c r="H294" s="109">
        <v>21367.567893133051</v>
      </c>
      <c r="I294" s="109">
        <f>SUM(I292:I293)</f>
        <v>15780.085005296056</v>
      </c>
      <c r="J294" s="105"/>
    </row>
    <row r="295" spans="1:10" ht="13" x14ac:dyDescent="0.3">
      <c r="A295" s="91"/>
      <c r="B295" s="104"/>
      <c r="C295" s="74"/>
      <c r="D295" s="74"/>
      <c r="E295" s="74"/>
      <c r="F295" s="74"/>
      <c r="G295" s="76"/>
      <c r="H295" s="76"/>
      <c r="I295" s="76"/>
      <c r="J295" s="105"/>
    </row>
    <row r="296" spans="1:10" ht="13" x14ac:dyDescent="0.3">
      <c r="A296" s="91"/>
      <c r="B296" s="104" t="s">
        <v>45</v>
      </c>
      <c r="C296" s="74"/>
      <c r="D296" s="74"/>
      <c r="E296" s="74"/>
      <c r="F296" s="74"/>
      <c r="G296" s="74"/>
      <c r="H296" s="84">
        <v>21370</v>
      </c>
      <c r="I296" s="84">
        <f>ROUND(I294,-1)</f>
        <v>15780</v>
      </c>
      <c r="J296" s="105"/>
    </row>
    <row r="297" spans="1:10" ht="13" x14ac:dyDescent="0.3">
      <c r="A297" s="91"/>
      <c r="H297" s="76"/>
      <c r="I297" s="76"/>
      <c r="J297" s="95"/>
    </row>
    <row r="298" spans="1:10" ht="13" x14ac:dyDescent="0.3">
      <c r="A298" s="91"/>
      <c r="B298" s="74"/>
      <c r="C298" s="74"/>
      <c r="D298" s="74"/>
      <c r="E298" s="74"/>
      <c r="F298" s="74"/>
      <c r="G298" s="74"/>
      <c r="H298" s="112">
        <v>0</v>
      </c>
      <c r="I298" s="112">
        <f>(I296-H296)/H296</f>
        <v>-0.26158165652784277</v>
      </c>
      <c r="J298" s="110"/>
    </row>
    <row r="299" spans="1:10" ht="13" x14ac:dyDescent="0.3">
      <c r="A299" s="91"/>
      <c r="B299" s="74"/>
      <c r="C299" s="74"/>
      <c r="D299" s="74"/>
      <c r="E299" s="74"/>
      <c r="F299" s="74"/>
      <c r="G299" s="74"/>
      <c r="H299" s="74"/>
      <c r="I299" s="74"/>
      <c r="J299" s="105"/>
    </row>
    <row r="300" spans="1:10" ht="13" x14ac:dyDescent="0.3">
      <c r="A300" s="91"/>
      <c r="B300" s="74"/>
      <c r="C300" s="74"/>
      <c r="D300" s="74"/>
      <c r="E300" s="74"/>
      <c r="F300" s="74"/>
      <c r="G300" s="74"/>
      <c r="H300" s="74"/>
      <c r="I300" s="74"/>
      <c r="J300" s="105"/>
    </row>
    <row r="342" ht="13.25" customHeight="1" x14ac:dyDescent="0.25"/>
    <row r="344" ht="13.25" customHeight="1" x14ac:dyDescent="0.25"/>
    <row r="349" ht="45.75" customHeight="1" x14ac:dyDescent="0.25"/>
    <row r="382" ht="39" customHeight="1" x14ac:dyDescent="0.25"/>
    <row r="456" ht="27.75" customHeight="1" x14ac:dyDescent="0.25"/>
    <row r="465" ht="17.399999999999999" customHeight="1" x14ac:dyDescent="0.25"/>
    <row r="466" ht="17.399999999999999" customHeight="1" x14ac:dyDescent="0.25"/>
    <row r="467" ht="17.399999999999999" customHeight="1" x14ac:dyDescent="0.25"/>
    <row r="468" ht="17.399999999999999" customHeight="1" x14ac:dyDescent="0.25"/>
    <row r="469" ht="17.399999999999999" customHeight="1" x14ac:dyDescent="0.25"/>
    <row r="470" ht="17.399999999999999" customHeight="1" x14ac:dyDescent="0.25"/>
    <row r="475" ht="35.4" customHeight="1" x14ac:dyDescent="0.25"/>
    <row r="503" ht="13.25" customHeight="1" x14ac:dyDescent="0.25"/>
    <row r="521" ht="28.25" customHeight="1" x14ac:dyDescent="0.25"/>
    <row r="522" ht="28.25" customHeight="1" x14ac:dyDescent="0.25"/>
    <row r="537" ht="17.399999999999999" customHeight="1" x14ac:dyDescent="0.25"/>
    <row r="569" ht="26.25" customHeight="1" x14ac:dyDescent="0.25"/>
    <row r="591" ht="32.25" customHeight="1" x14ac:dyDescent="0.25"/>
    <row r="614" ht="33.75" customHeight="1" x14ac:dyDescent="0.25"/>
    <row r="624" ht="17.399999999999999" customHeight="1" x14ac:dyDescent="0.25"/>
    <row r="625" ht="17.399999999999999" customHeight="1" x14ac:dyDescent="0.25"/>
    <row r="626" ht="17.399999999999999" customHeight="1" x14ac:dyDescent="0.25"/>
    <row r="627" ht="17.399999999999999" customHeight="1" x14ac:dyDescent="0.25"/>
    <row r="628" ht="17.399999999999999" customHeight="1" x14ac:dyDescent="0.25"/>
    <row r="661" ht="13.25" customHeight="1" x14ac:dyDescent="0.25"/>
    <row r="678" ht="33.75" customHeight="1" x14ac:dyDescent="0.25"/>
    <row r="726" ht="13.25" customHeight="1" x14ac:dyDescent="0.25"/>
    <row r="930" ht="28.25" customHeight="1" x14ac:dyDescent="0.25"/>
    <row r="1002" ht="33.75" customHeight="1" x14ac:dyDescent="0.25"/>
    <row r="1089" ht="33.75" customHeight="1" x14ac:dyDescent="0.25"/>
    <row r="1090" ht="17.399999999999999" customHeight="1" x14ac:dyDescent="0.25"/>
    <row r="1139" ht="140.25" customHeight="1" x14ac:dyDescent="0.25"/>
  </sheetData>
  <pageMargins left="0.7" right="0.7" top="0.75" bottom="0.75" header="0.3" footer="0.3"/>
  <pageSetup paperSize="8" scale="85" fitToHeight="0" orientation="portrait" r:id="rId1"/>
  <headerFooter>
    <oddHeader>&amp;CCENTLEC Service Tariff - Calculation Sheets 2023/2024</oddHeader>
  </headerFooter>
  <rowBreaks count="4" manualBreakCount="4">
    <brk id="41" max="9" man="1"/>
    <brk id="77" max="9" man="1"/>
    <brk id="152" max="9" man="1"/>
    <brk id="226"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37F48-37EC-4C3E-B774-D5109C8B2103}">
  <sheetPr>
    <pageSetUpPr fitToPage="1"/>
  </sheetPr>
  <dimension ref="A1:M163"/>
  <sheetViews>
    <sheetView view="pageBreakPreview" topLeftCell="A145" zoomScale="87" zoomScaleNormal="70" zoomScaleSheetLayoutView="87" workbookViewId="0">
      <selection activeCell="C116" sqref="C116"/>
    </sheetView>
  </sheetViews>
  <sheetFormatPr defaultColWidth="9" defaultRowHeight="12.5" x14ac:dyDescent="0.25"/>
  <cols>
    <col min="1" max="1" width="8" style="86" customWidth="1"/>
    <col min="2" max="2" width="11.36328125" style="86" customWidth="1"/>
    <col min="3" max="3" width="40.08984375" style="86" bestFit="1" customWidth="1"/>
    <col min="4" max="4" width="14.54296875" style="86" customWidth="1"/>
    <col min="5" max="5" width="9" style="86"/>
    <col min="6" max="6" width="12.90625" style="86" customWidth="1"/>
    <col min="7" max="7" width="20.54296875" style="86" customWidth="1"/>
    <col min="8" max="9" width="20.6328125" style="86" customWidth="1"/>
    <col min="10" max="10" width="10.6328125" style="86" hidden="1" customWidth="1"/>
    <col min="11" max="11" width="11.54296875" style="86" bestFit="1" customWidth="1"/>
    <col min="12" max="12" width="9.54296875" style="86" bestFit="1" customWidth="1"/>
    <col min="13" max="18" width="9" style="86"/>
    <col min="19" max="19" width="9.36328125" style="86" bestFit="1" customWidth="1"/>
    <col min="20" max="20" width="11.81640625" style="86" bestFit="1" customWidth="1"/>
    <col min="21" max="16384" width="9" style="86"/>
  </cols>
  <sheetData>
    <row r="1" spans="1:10" ht="15.5" x14ac:dyDescent="0.35">
      <c r="A1" s="86" t="s">
        <v>1</v>
      </c>
      <c r="B1" s="87" t="s">
        <v>1</v>
      </c>
    </row>
    <row r="2" spans="1:10" ht="13.25" customHeight="1" x14ac:dyDescent="0.3">
      <c r="A2" s="91"/>
      <c r="B2" s="92" t="s">
        <v>695</v>
      </c>
      <c r="C2" s="770"/>
      <c r="D2" s="770"/>
      <c r="E2" s="770"/>
      <c r="F2" s="770"/>
      <c r="G2" s="771"/>
      <c r="H2" s="112"/>
      <c r="I2" s="112"/>
      <c r="J2" s="113"/>
    </row>
    <row r="3" spans="1:10" ht="13" x14ac:dyDescent="0.3">
      <c r="A3" s="91"/>
      <c r="B3" s="74" t="s">
        <v>1</v>
      </c>
      <c r="C3" s="74"/>
      <c r="D3" s="74"/>
      <c r="E3" s="74"/>
      <c r="F3" s="74"/>
      <c r="G3" s="74"/>
      <c r="H3" s="74"/>
      <c r="I3" s="74"/>
      <c r="J3" s="95"/>
    </row>
    <row r="4" spans="1:10" ht="22.5" customHeight="1" x14ac:dyDescent="0.3">
      <c r="A4" s="91"/>
      <c r="B4" s="92" t="s">
        <v>526</v>
      </c>
      <c r="C4" s="824"/>
      <c r="D4" s="824"/>
      <c r="E4" s="824"/>
      <c r="F4" s="824"/>
      <c r="G4" s="825"/>
      <c r="H4" s="74"/>
      <c r="I4" s="74"/>
      <c r="J4" s="95"/>
    </row>
    <row r="5" spans="1:10" ht="12.75" customHeight="1" x14ac:dyDescent="0.3">
      <c r="A5" s="91"/>
      <c r="B5" s="74"/>
      <c r="C5" s="74"/>
      <c r="D5" s="74"/>
      <c r="E5" s="74"/>
      <c r="F5" s="74"/>
      <c r="G5" s="74"/>
      <c r="H5" s="74"/>
      <c r="I5" s="74"/>
      <c r="J5" s="95"/>
    </row>
    <row r="6" spans="1:10" ht="13" x14ac:dyDescent="0.3">
      <c r="A6" s="91"/>
      <c r="B6" s="74"/>
      <c r="C6" s="74"/>
      <c r="D6" s="74"/>
      <c r="E6" s="74"/>
      <c r="F6" s="74"/>
      <c r="G6" s="74"/>
      <c r="H6" s="74"/>
      <c r="I6" s="74"/>
      <c r="J6" s="95"/>
    </row>
    <row r="7" spans="1:10" ht="13" x14ac:dyDescent="0.3">
      <c r="A7" s="91"/>
      <c r="B7" s="74"/>
      <c r="C7" s="74"/>
      <c r="D7" s="74"/>
      <c r="E7" s="74"/>
      <c r="F7" s="74"/>
      <c r="G7" s="74"/>
      <c r="H7" s="103" t="str">
        <f>+'Unit tariffs'!$E$11</f>
        <v>2025/2026</v>
      </c>
      <c r="I7" s="103" t="str">
        <f>+'Unit tariffs'!$F$11</f>
        <v>2026/2027</v>
      </c>
      <c r="J7" s="450"/>
    </row>
    <row r="8" spans="1:10" ht="13" x14ac:dyDescent="0.3">
      <c r="A8" s="91"/>
      <c r="B8" s="104" t="s">
        <v>58</v>
      </c>
      <c r="C8" s="74"/>
      <c r="D8" s="74"/>
      <c r="E8" s="74"/>
      <c r="F8" s="74"/>
      <c r="G8" s="74"/>
      <c r="H8" s="74"/>
      <c r="I8" s="74"/>
      <c r="J8" s="95"/>
    </row>
    <row r="9" spans="1:10" ht="58.25" customHeight="1" x14ac:dyDescent="0.3">
      <c r="A9" s="91"/>
      <c r="B9" s="930" t="s">
        <v>528</v>
      </c>
      <c r="C9" s="930"/>
      <c r="D9" s="74"/>
      <c r="E9" s="74"/>
      <c r="F9" s="74"/>
      <c r="G9" s="74"/>
      <c r="H9" s="76"/>
      <c r="I9" s="76"/>
      <c r="J9" s="105"/>
    </row>
    <row r="10" spans="1:10" ht="13" x14ac:dyDescent="0.3">
      <c r="A10" s="91"/>
      <c r="B10" s="74"/>
      <c r="C10" s="74"/>
      <c r="D10" s="74"/>
      <c r="E10" s="74"/>
      <c r="F10" s="74"/>
      <c r="G10" s="74"/>
      <c r="H10" s="76"/>
      <c r="I10" s="76"/>
      <c r="J10" s="105"/>
    </row>
    <row r="11" spans="1:10" ht="13" x14ac:dyDescent="0.3">
      <c r="A11" s="91"/>
      <c r="B11" s="74"/>
      <c r="C11" s="74"/>
      <c r="D11" s="74"/>
      <c r="E11" s="74"/>
      <c r="F11" s="74"/>
      <c r="G11" s="74"/>
      <c r="H11" s="76"/>
      <c r="I11" s="76"/>
      <c r="J11" s="105"/>
    </row>
    <row r="12" spans="1:10" ht="13" x14ac:dyDescent="0.3">
      <c r="A12" s="91"/>
      <c r="B12" s="104" t="s">
        <v>527</v>
      </c>
      <c r="C12" s="74"/>
      <c r="D12" s="74"/>
      <c r="E12" s="132" t="s">
        <v>439</v>
      </c>
      <c r="F12" s="132" t="s">
        <v>440</v>
      </c>
      <c r="G12" s="74"/>
      <c r="H12" s="76"/>
      <c r="I12" s="76"/>
      <c r="J12" s="105"/>
    </row>
    <row r="13" spans="1:10" ht="13" x14ac:dyDescent="0.3">
      <c r="A13" s="91"/>
      <c r="B13" s="74" t="s">
        <v>696</v>
      </c>
      <c r="C13" s="74"/>
      <c r="D13" s="74"/>
      <c r="E13" s="640">
        <f>2.24*12*30</f>
        <v>806.40000000000009</v>
      </c>
      <c r="F13" s="641">
        <f>+'Unit tariffs'!F165</f>
        <v>2.0536539478</v>
      </c>
      <c r="G13" s="74"/>
      <c r="H13" s="76">
        <v>110.89731318119999</v>
      </c>
      <c r="I13" s="76">
        <f>+F13*E13</f>
        <v>1656.0665435059202</v>
      </c>
      <c r="J13" s="105"/>
    </row>
    <row r="14" spans="1:10" ht="13" x14ac:dyDescent="0.3">
      <c r="A14" s="91"/>
      <c r="B14" s="104"/>
      <c r="C14" s="74"/>
      <c r="D14" s="74"/>
      <c r="E14" s="74"/>
      <c r="F14" s="74"/>
      <c r="G14" s="74"/>
      <c r="H14" s="76"/>
      <c r="I14" s="76"/>
      <c r="J14" s="105"/>
    </row>
    <row r="15" spans="1:10" ht="13" x14ac:dyDescent="0.3">
      <c r="A15" s="91"/>
      <c r="B15" s="104" t="s">
        <v>45</v>
      </c>
      <c r="C15" s="74"/>
      <c r="D15" s="74"/>
      <c r="E15" s="74"/>
      <c r="F15" s="74"/>
      <c r="G15" s="74"/>
      <c r="H15" s="84">
        <v>111</v>
      </c>
      <c r="I15" s="84">
        <f>ROUND(I13,0)</f>
        <v>1656</v>
      </c>
      <c r="J15" s="110"/>
    </row>
    <row r="16" spans="1:10" ht="13" x14ac:dyDescent="0.3">
      <c r="A16" s="91"/>
      <c r="B16" s="104"/>
      <c r="C16" s="74"/>
      <c r="D16" s="74"/>
      <c r="E16" s="74"/>
      <c r="F16" s="74"/>
      <c r="G16" s="74"/>
      <c r="H16" s="84"/>
      <c r="I16" s="84"/>
      <c r="J16" s="110"/>
    </row>
    <row r="17" spans="1:10" ht="13" x14ac:dyDescent="0.3">
      <c r="A17" s="91"/>
      <c r="B17" s="104"/>
      <c r="C17" s="74"/>
      <c r="D17" s="74"/>
      <c r="E17" s="74"/>
      <c r="F17" s="74"/>
      <c r="G17" s="74"/>
      <c r="H17" s="112" t="e">
        <v>#DIV/0!</v>
      </c>
      <c r="I17" s="112">
        <f>(I15-H15)/H15</f>
        <v>13.918918918918919</v>
      </c>
      <c r="J17" s="113"/>
    </row>
    <row r="18" spans="1:10" ht="13.5" thickBot="1" x14ac:dyDescent="0.35">
      <c r="A18" s="448"/>
      <c r="B18" s="123"/>
      <c r="C18" s="123"/>
      <c r="D18" s="123"/>
      <c r="E18" s="123"/>
      <c r="F18" s="123"/>
      <c r="G18" s="123"/>
      <c r="H18" s="74"/>
      <c r="I18" s="74"/>
      <c r="J18" s="95"/>
    </row>
    <row r="19" spans="1:10" ht="13.5" thickTop="1" x14ac:dyDescent="0.3">
      <c r="A19" s="91"/>
      <c r="B19" s="92" t="s">
        <v>698</v>
      </c>
      <c r="C19" s="824"/>
      <c r="D19" s="824"/>
      <c r="E19" s="824"/>
      <c r="F19" s="824"/>
      <c r="G19" s="825"/>
      <c r="H19" s="74"/>
      <c r="I19" s="74"/>
      <c r="J19" s="105"/>
    </row>
    <row r="20" spans="1:10" ht="13" x14ac:dyDescent="0.3">
      <c r="A20" s="91"/>
      <c r="B20" s="74"/>
      <c r="C20" s="74"/>
      <c r="D20" s="74"/>
      <c r="E20" s="74"/>
      <c r="F20" s="74"/>
      <c r="G20" s="74"/>
      <c r="H20" s="74"/>
      <c r="I20" s="74"/>
      <c r="J20" s="105"/>
    </row>
    <row r="21" spans="1:10" ht="13.25" customHeight="1" x14ac:dyDescent="0.3">
      <c r="A21" s="91"/>
      <c r="B21" s="92" t="s">
        <v>699</v>
      </c>
      <c r="C21" s="824"/>
      <c r="D21" s="824"/>
      <c r="E21" s="824"/>
      <c r="F21" s="824"/>
      <c r="G21" s="825"/>
      <c r="H21" s="132" t="s">
        <v>244</v>
      </c>
      <c r="I21" s="132" t="s">
        <v>244</v>
      </c>
      <c r="J21" s="113"/>
    </row>
    <row r="22" spans="1:10" ht="13" x14ac:dyDescent="0.3">
      <c r="A22" s="91"/>
      <c r="B22" s="104"/>
      <c r="C22" s="74"/>
      <c r="D22" s="74"/>
      <c r="E22" s="74"/>
      <c r="F22" s="74"/>
      <c r="G22" s="74"/>
      <c r="H22" s="74"/>
      <c r="I22" s="74"/>
      <c r="J22" s="95"/>
    </row>
    <row r="23" spans="1:10" ht="13" x14ac:dyDescent="0.3">
      <c r="A23" s="91"/>
      <c r="B23" s="74"/>
      <c r="C23" s="74"/>
      <c r="D23" s="74"/>
      <c r="E23" s="74"/>
      <c r="F23" s="74"/>
      <c r="G23" s="74"/>
      <c r="H23" s="103" t="str">
        <f>+'Unit tariffs'!$E$11</f>
        <v>2025/2026</v>
      </c>
      <c r="I23" s="103" t="str">
        <f>+'Unit tariffs'!$F$11</f>
        <v>2026/2027</v>
      </c>
      <c r="J23" s="95"/>
    </row>
    <row r="24" spans="1:10" ht="13" x14ac:dyDescent="0.3">
      <c r="A24" s="91"/>
      <c r="B24" s="148"/>
      <c r="C24" s="74"/>
      <c r="D24" s="74"/>
      <c r="E24" s="74"/>
      <c r="F24" s="74"/>
      <c r="G24" s="74"/>
      <c r="H24" s="74"/>
      <c r="I24" s="74"/>
      <c r="J24" s="95"/>
    </row>
    <row r="25" spans="1:10" ht="13.5" thickBot="1" x14ac:dyDescent="0.35">
      <c r="A25" s="91"/>
      <c r="B25" s="104" t="s">
        <v>697</v>
      </c>
      <c r="C25" s="74"/>
      <c r="D25" s="106"/>
      <c r="E25" s="74"/>
      <c r="F25" s="74"/>
      <c r="G25" s="74"/>
      <c r="H25" s="108">
        <v>4980</v>
      </c>
      <c r="I25" s="108">
        <f>+'New Conn'!I213</f>
        <v>4926.1523777235607</v>
      </c>
      <c r="J25" s="95"/>
    </row>
    <row r="26" spans="1:10" ht="13.5" thickTop="1" x14ac:dyDescent="0.3">
      <c r="A26" s="91"/>
      <c r="B26" s="104"/>
      <c r="C26" s="74"/>
      <c r="D26" s="106"/>
      <c r="E26" s="74"/>
      <c r="F26" s="74"/>
      <c r="G26" s="74"/>
      <c r="H26" s="76">
        <v>4980</v>
      </c>
      <c r="I26" s="76">
        <f>I25</f>
        <v>4926.1523777235607</v>
      </c>
      <c r="J26" s="95"/>
    </row>
    <row r="27" spans="1:10" ht="13" x14ac:dyDescent="0.3">
      <c r="A27" s="91"/>
      <c r="B27" s="104"/>
      <c r="C27" s="74"/>
      <c r="D27" s="74"/>
      <c r="E27" s="74"/>
      <c r="F27" s="74"/>
      <c r="G27" s="74"/>
      <c r="H27" s="76"/>
      <c r="I27" s="76"/>
      <c r="J27" s="450"/>
    </row>
    <row r="28" spans="1:10" ht="13" x14ac:dyDescent="0.3">
      <c r="A28" s="91"/>
      <c r="B28" s="104" t="s">
        <v>45</v>
      </c>
      <c r="C28" s="74"/>
      <c r="D28" s="74"/>
      <c r="E28" s="74"/>
      <c r="F28" s="74"/>
      <c r="G28" s="74"/>
      <c r="H28" s="84">
        <v>4980</v>
      </c>
      <c r="I28" s="84">
        <f>ROUND(I26,-1)</f>
        <v>4930</v>
      </c>
      <c r="J28" s="95"/>
    </row>
    <row r="29" spans="1:10" ht="13" x14ac:dyDescent="0.3">
      <c r="A29" s="91"/>
      <c r="H29" s="84"/>
      <c r="I29" s="84"/>
      <c r="J29" s="95"/>
    </row>
    <row r="30" spans="1:10" ht="13" x14ac:dyDescent="0.3">
      <c r="A30" s="91"/>
      <c r="B30" s="104"/>
      <c r="C30" s="74"/>
      <c r="D30" s="74"/>
      <c r="E30" s="74"/>
      <c r="F30" s="74"/>
      <c r="G30" s="74"/>
      <c r="H30" s="112">
        <v>0</v>
      </c>
      <c r="I30" s="112">
        <f>(I28-H28)/H28</f>
        <v>-1.0040160642570281E-2</v>
      </c>
      <c r="J30" s="95"/>
    </row>
    <row r="31" spans="1:10" ht="13" x14ac:dyDescent="0.3">
      <c r="A31" s="91"/>
      <c r="B31" s="104"/>
      <c r="C31" s="74"/>
      <c r="D31" s="74"/>
      <c r="E31" s="74"/>
      <c r="F31" s="74"/>
      <c r="G31" s="74"/>
      <c r="H31" s="74"/>
      <c r="I31" s="74"/>
      <c r="J31" s="95"/>
    </row>
    <row r="32" spans="1:10" ht="13" x14ac:dyDescent="0.3">
      <c r="A32" s="91"/>
      <c r="B32" s="74" t="s">
        <v>1</v>
      </c>
      <c r="C32" s="74"/>
      <c r="D32" s="74"/>
      <c r="E32" s="74"/>
      <c r="F32" s="74"/>
      <c r="G32" s="74"/>
      <c r="H32" s="74"/>
      <c r="I32" s="74"/>
      <c r="J32" s="105"/>
    </row>
    <row r="33" spans="1:10" ht="13.25" customHeight="1" x14ac:dyDescent="0.3">
      <c r="A33" s="91"/>
      <c r="B33" s="92" t="s">
        <v>700</v>
      </c>
      <c r="C33" s="824"/>
      <c r="D33" s="824"/>
      <c r="E33" s="824"/>
      <c r="F33" s="824"/>
      <c r="G33" s="825"/>
      <c r="H33" s="74"/>
      <c r="I33" s="74"/>
      <c r="J33" s="105"/>
    </row>
    <row r="34" spans="1:10" ht="13" x14ac:dyDescent="0.3">
      <c r="A34" s="91"/>
      <c r="B34" s="74" t="s">
        <v>1</v>
      </c>
      <c r="C34" s="74"/>
      <c r="D34" s="74"/>
      <c r="E34" s="74"/>
      <c r="F34" s="74"/>
      <c r="G34" s="74"/>
      <c r="H34" s="103" t="str">
        <f>+'Unit tariffs'!$E$11</f>
        <v>2025/2026</v>
      </c>
      <c r="I34" s="103" t="str">
        <f>+'Unit tariffs'!$F$11</f>
        <v>2026/2027</v>
      </c>
      <c r="J34" s="95"/>
    </row>
    <row r="35" spans="1:10" ht="13" x14ac:dyDescent="0.3">
      <c r="A35" s="91"/>
      <c r="B35" s="104" t="s">
        <v>41</v>
      </c>
      <c r="C35" s="74"/>
      <c r="D35" s="74"/>
      <c r="E35" s="74"/>
      <c r="F35" s="74"/>
      <c r="G35" s="74"/>
      <c r="H35" s="74"/>
      <c r="I35" s="74"/>
      <c r="J35" s="95"/>
    </row>
    <row r="36" spans="1:10" ht="13" x14ac:dyDescent="0.3">
      <c r="A36" s="91"/>
      <c r="B36" s="74"/>
      <c r="C36" s="74"/>
      <c r="D36" s="74"/>
      <c r="E36" s="74"/>
      <c r="F36" s="74"/>
      <c r="G36" s="74"/>
      <c r="H36" s="74"/>
      <c r="I36" s="74"/>
      <c r="J36" s="444" t="s">
        <v>313</v>
      </c>
    </row>
    <row r="37" spans="1:10" ht="13" x14ac:dyDescent="0.3">
      <c r="A37" s="91"/>
      <c r="B37" s="74">
        <v>5</v>
      </c>
      <c r="C37" s="74" t="str">
        <f>'Unit tariffs'!B68</f>
        <v>10 mm Copper Airdac cable</v>
      </c>
      <c r="D37" s="74"/>
      <c r="E37" s="74"/>
      <c r="F37" s="74"/>
      <c r="G37" s="74"/>
      <c r="H37" s="76">
        <v>225.02458900000005</v>
      </c>
      <c r="I37" s="76">
        <f>VLOOKUP($C37,'Unit tariffs'!$B$21:$F$123,5,FALSE)*$B37</f>
        <v>49.547562049999989</v>
      </c>
      <c r="J37" s="447" t="e">
        <f>IF(+I37*'Unit tariffs'!#REF!&gt;'Unit tariffs'!#REF!,'Unit tariffs'!#REF!,+I37*'Unit tariffs'!#REF!)</f>
        <v>#REF!</v>
      </c>
    </row>
    <row r="38" spans="1:10" ht="13" x14ac:dyDescent="0.3">
      <c r="A38" s="91"/>
      <c r="B38" s="74">
        <v>1</v>
      </c>
      <c r="C38" s="74" t="str">
        <f>'Unit tariffs'!B69</f>
        <v>Strain clamp - Airdac</v>
      </c>
      <c r="D38" s="74"/>
      <c r="E38" s="74"/>
      <c r="F38" s="74"/>
      <c r="G38" s="74"/>
      <c r="H38" s="76">
        <v>19.852472484326999</v>
      </c>
      <c r="I38" s="76">
        <f>VLOOKUP($C38,'Unit tariffs'!$B$21:$F$123,5,FALSE)*$B38</f>
        <v>16.21453855</v>
      </c>
      <c r="J38" s="447" t="e">
        <f>IF(+I38*'Unit tariffs'!#REF!&gt;'Unit tariffs'!#REF!,'Unit tariffs'!#REF!,+I38*'Unit tariffs'!#REF!)</f>
        <v>#REF!</v>
      </c>
    </row>
    <row r="39" spans="1:10" ht="13" x14ac:dyDescent="0.3">
      <c r="A39" s="91"/>
      <c r="B39" s="74">
        <v>1</v>
      </c>
      <c r="C39" s="74" t="str">
        <f>'Unit tariffs'!B24</f>
        <v>L-Bracket</v>
      </c>
      <c r="D39" s="74"/>
      <c r="E39" s="74"/>
      <c r="F39" s="74"/>
      <c r="G39" s="74"/>
      <c r="H39" s="76">
        <v>89.032648000000009</v>
      </c>
      <c r="I39" s="76">
        <f>VLOOKUP($C39,'Unit tariffs'!$B$21:$F$123,5,FALSE)*$B39</f>
        <v>616.94341799999995</v>
      </c>
      <c r="J39" s="447" t="e">
        <f>IF(+I39*'Unit tariffs'!#REF!&gt;'Unit tariffs'!#REF!,'Unit tariffs'!#REF!,+I39*'Unit tariffs'!#REF!)</f>
        <v>#REF!</v>
      </c>
    </row>
    <row r="40" spans="1:10" ht="13" x14ac:dyDescent="0.3">
      <c r="A40" s="91"/>
      <c r="B40" s="74">
        <v>2</v>
      </c>
      <c r="C40" s="74" t="str">
        <f>'Unit tariffs'!B21</f>
        <v>Installation material</v>
      </c>
      <c r="D40" s="74"/>
      <c r="E40" s="74"/>
      <c r="F40" s="74"/>
      <c r="G40" s="74"/>
      <c r="H40" s="81">
        <v>542.88200000000006</v>
      </c>
      <c r="I40" s="81">
        <f>VLOOKUP($C40,'Unit tariffs'!$B$21:$F$123,5,FALSE)*$B40</f>
        <v>564.9665</v>
      </c>
      <c r="J40" s="447" t="e">
        <f>IF(+I40*'Unit tariffs'!#REF!&gt;'Unit tariffs'!#REF!,'Unit tariffs'!#REF!,+I40*'Unit tariffs'!#REF!)</f>
        <v>#REF!</v>
      </c>
    </row>
    <row r="41" spans="1:10" ht="13" x14ac:dyDescent="0.3">
      <c r="A41" s="91"/>
      <c r="B41" s="74"/>
      <c r="C41" s="74"/>
      <c r="D41" s="74"/>
      <c r="E41" s="74"/>
      <c r="F41" s="74"/>
      <c r="G41" s="74"/>
      <c r="H41" s="76">
        <v>876.79170948432716</v>
      </c>
      <c r="I41" s="76">
        <f>SUM(I37:I40)</f>
        <v>1247.6720186</v>
      </c>
      <c r="J41" s="95"/>
    </row>
    <row r="42" spans="1:10" ht="13" x14ac:dyDescent="0.3">
      <c r="A42" s="91"/>
      <c r="B42" s="104" t="s">
        <v>42</v>
      </c>
      <c r="C42" s="74"/>
      <c r="D42" s="74"/>
      <c r="E42" s="74"/>
      <c r="F42" s="74"/>
      <c r="G42" s="76"/>
      <c r="H42" s="74"/>
      <c r="I42" s="74"/>
      <c r="J42" s="95"/>
    </row>
    <row r="43" spans="1:10" ht="13" x14ac:dyDescent="0.3">
      <c r="A43" s="91"/>
      <c r="B43" s="74"/>
      <c r="C43" s="74"/>
      <c r="D43" s="74"/>
      <c r="E43" s="74"/>
      <c r="F43" s="74"/>
      <c r="G43" s="74"/>
      <c r="H43" s="74"/>
      <c r="I43" s="74"/>
      <c r="J43" s="95"/>
    </row>
    <row r="44" spans="1:10" ht="13" x14ac:dyDescent="0.3">
      <c r="A44" s="91"/>
      <c r="B44" s="74">
        <v>0.5</v>
      </c>
      <c r="C44" s="74" t="str">
        <f>'Unit tariffs'!B87</f>
        <v xml:space="preserve">hour-artisan </v>
      </c>
      <c r="D44" s="74"/>
      <c r="E44" s="74"/>
      <c r="F44" s="74"/>
      <c r="G44" s="74"/>
      <c r="H44" s="76">
        <v>161.42611586538462</v>
      </c>
      <c r="I44" s="76">
        <f>VLOOKUP($C44,'Unit tariffs'!$B$21:$F$123,5,FALSE)*$B44</f>
        <v>175.5963830769231</v>
      </c>
      <c r="J44" s="95"/>
    </row>
    <row r="45" spans="1:10" ht="13" x14ac:dyDescent="0.3">
      <c r="A45" s="91"/>
      <c r="B45" s="74">
        <v>2</v>
      </c>
      <c r="C45" s="74" t="str">
        <f>'Unit tariffs'!B85</f>
        <v>hour-artisan assistant</v>
      </c>
      <c r="D45" s="74"/>
      <c r="E45" s="74"/>
      <c r="F45" s="74"/>
      <c r="G45" s="74"/>
      <c r="H45" s="81">
        <v>257.07161538461543</v>
      </c>
      <c r="I45" s="81">
        <f>VLOOKUP($C45,'Unit tariffs'!$B$21:$F$123,5,FALSE)*$B45</f>
        <v>279.64851692307695</v>
      </c>
      <c r="J45" s="95"/>
    </row>
    <row r="46" spans="1:10" ht="13" x14ac:dyDescent="0.3">
      <c r="A46" s="91"/>
      <c r="B46" s="74"/>
      <c r="C46" s="74"/>
      <c r="D46" s="74"/>
      <c r="E46" s="74"/>
      <c r="F46" s="74"/>
      <c r="G46" s="74"/>
      <c r="H46" s="76">
        <v>418.49773125000002</v>
      </c>
      <c r="I46" s="76">
        <f>SUM(I44:I45)</f>
        <v>455.24490000000003</v>
      </c>
      <c r="J46" s="95"/>
    </row>
    <row r="47" spans="1:10" ht="13" x14ac:dyDescent="0.3">
      <c r="A47" s="91"/>
      <c r="B47" s="104" t="s">
        <v>43</v>
      </c>
      <c r="C47" s="74"/>
      <c r="D47" s="74"/>
      <c r="E47" s="74"/>
      <c r="F47" s="74"/>
      <c r="G47" s="74"/>
      <c r="H47" s="74"/>
      <c r="I47" s="74"/>
      <c r="J47" s="95"/>
    </row>
    <row r="48" spans="1:10" ht="13" x14ac:dyDescent="0.3">
      <c r="A48" s="91"/>
      <c r="B48" s="74"/>
      <c r="C48" s="74"/>
      <c r="D48" s="74"/>
      <c r="E48" s="74"/>
      <c r="F48" s="74"/>
      <c r="G48" s="74"/>
      <c r="H48" s="74"/>
      <c r="I48" s="74"/>
      <c r="J48" s="95"/>
    </row>
    <row r="49" spans="1:10" ht="13" x14ac:dyDescent="0.3">
      <c r="A49" s="91"/>
      <c r="B49" s="74">
        <v>24</v>
      </c>
      <c r="C49" s="74" t="str">
        <f>'Unit tariffs'!B111</f>
        <v>km-truck with platform</v>
      </c>
      <c r="D49" s="74"/>
      <c r="E49" s="74"/>
      <c r="F49" s="74"/>
      <c r="G49" s="74"/>
      <c r="H49" s="76">
        <v>1010.8920834182238</v>
      </c>
      <c r="I49" s="76">
        <f>VLOOKUP($C49,'Unit tariffs'!$B$21:$F$123,5,FALSE)*$B49</f>
        <v>1182.7997218118533</v>
      </c>
      <c r="J49" s="450"/>
    </row>
    <row r="50" spans="1:10" ht="13" x14ac:dyDescent="0.3">
      <c r="A50" s="91"/>
      <c r="B50" s="74">
        <v>1</v>
      </c>
      <c r="C50" s="74" t="str">
        <f>'Unit tariffs'!B112</f>
        <v>hour-truck with platform</v>
      </c>
      <c r="D50" s="74"/>
      <c r="E50" s="74"/>
      <c r="F50" s="74"/>
      <c r="G50" s="74"/>
      <c r="H50" s="76">
        <v>204.98441731167313</v>
      </c>
      <c r="I50" s="76">
        <f>VLOOKUP($C50,'Unit tariffs'!$B$21:$F$123,5,FALSE)*$B50</f>
        <v>239.8431204962792</v>
      </c>
      <c r="J50" s="95"/>
    </row>
    <row r="51" spans="1:10" ht="13" x14ac:dyDescent="0.3">
      <c r="A51" s="91"/>
      <c r="B51" s="74"/>
      <c r="C51" s="74"/>
      <c r="D51" s="74"/>
      <c r="E51" s="74"/>
      <c r="F51" s="74"/>
      <c r="G51" s="74"/>
      <c r="H51" s="137">
        <v>1215.8765007298969</v>
      </c>
      <c r="I51" s="137">
        <f>SUM(I49:I50)</f>
        <v>1422.6428423081325</v>
      </c>
      <c r="J51" s="95"/>
    </row>
    <row r="52" spans="1:10" ht="13.5" thickBot="1" x14ac:dyDescent="0.35">
      <c r="A52" s="91"/>
      <c r="B52" s="104"/>
      <c r="C52" s="74"/>
      <c r="D52" s="106"/>
      <c r="E52" s="74"/>
      <c r="F52" s="74"/>
      <c r="G52" s="74"/>
      <c r="H52" s="108"/>
      <c r="I52" s="108"/>
      <c r="J52" s="95"/>
    </row>
    <row r="53" spans="1:10" ht="13.5" thickTop="1" x14ac:dyDescent="0.3">
      <c r="A53" s="91"/>
      <c r="B53" s="74"/>
      <c r="C53" s="74"/>
      <c r="D53" s="74"/>
      <c r="E53" s="74"/>
      <c r="F53" s="74"/>
      <c r="G53" s="74"/>
      <c r="H53" s="76">
        <v>2511.165941464224</v>
      </c>
      <c r="I53" s="76">
        <f>I51+I46+I41</f>
        <v>3125.5597609081324</v>
      </c>
      <c r="J53" s="95"/>
    </row>
    <row r="54" spans="1:10" ht="13.5" thickBot="1" x14ac:dyDescent="0.35">
      <c r="A54" s="91"/>
      <c r="B54" s="104" t="str">
        <f>'Unit tariffs'!$B$7</f>
        <v>Administration Levy (Indirect Cost)</v>
      </c>
      <c r="C54" s="74"/>
      <c r="D54" s="106">
        <f>'Unit tariffs'!$C$7</f>
        <v>0.1</v>
      </c>
      <c r="E54" s="74" t="s">
        <v>311</v>
      </c>
      <c r="F54" s="186">
        <f>+'Unit tariffs'!$F$7</f>
        <v>10000</v>
      </c>
      <c r="G54" s="76"/>
      <c r="H54" s="108">
        <v>251.11659414642241</v>
      </c>
      <c r="I54" s="108">
        <f>IF(I53*$D54&gt;='Unit tariffs'!$E$7,'Unit tariffs'!$E$7,I53*$D54)</f>
        <v>312.55597609081326</v>
      </c>
      <c r="J54" s="105"/>
    </row>
    <row r="55" spans="1:10" ht="13.5" thickTop="1" x14ac:dyDescent="0.3">
      <c r="A55" s="91"/>
      <c r="B55" s="104" t="s">
        <v>44</v>
      </c>
      <c r="C55" s="74"/>
      <c r="D55" s="74"/>
      <c r="E55" s="74"/>
      <c r="F55" s="74"/>
      <c r="G55" s="76"/>
      <c r="H55" s="109">
        <v>2762.2825356106464</v>
      </c>
      <c r="I55" s="109">
        <f>SUM(I53:I54)</f>
        <v>3438.1157369989455</v>
      </c>
      <c r="J55" s="105"/>
    </row>
    <row r="56" spans="1:10" ht="13" x14ac:dyDescent="0.3">
      <c r="A56" s="91"/>
      <c r="B56" s="74"/>
      <c r="C56" s="74"/>
      <c r="D56" s="74"/>
      <c r="E56" s="74"/>
      <c r="F56" s="74"/>
      <c r="G56" s="76"/>
      <c r="H56" s="74"/>
      <c r="I56" s="74"/>
      <c r="J56" s="95"/>
    </row>
    <row r="57" spans="1:10" ht="13" x14ac:dyDescent="0.3">
      <c r="A57" s="91"/>
      <c r="B57" s="104" t="s">
        <v>45</v>
      </c>
      <c r="C57" s="74"/>
      <c r="D57" s="74"/>
      <c r="E57" s="74"/>
      <c r="F57" s="74"/>
      <c r="G57" s="74"/>
      <c r="H57" s="84">
        <v>2760</v>
      </c>
      <c r="I57" s="84">
        <f>ROUND(I55,-1)</f>
        <v>3440</v>
      </c>
      <c r="J57" s="95"/>
    </row>
    <row r="58" spans="1:10" ht="13" x14ac:dyDescent="0.3">
      <c r="A58" s="91"/>
      <c r="E58" s="74"/>
      <c r="F58" s="74"/>
      <c r="G58" s="74"/>
      <c r="H58" s="76"/>
      <c r="I58" s="76"/>
      <c r="J58" s="105"/>
    </row>
    <row r="59" spans="1:10" ht="13" x14ac:dyDescent="0.3">
      <c r="A59" s="91"/>
      <c r="B59" s="74"/>
      <c r="C59" s="74"/>
      <c r="D59" s="74"/>
      <c r="E59" s="74"/>
      <c r="F59" s="74"/>
      <c r="G59" s="74"/>
      <c r="H59" s="112">
        <v>0</v>
      </c>
      <c r="I59" s="112">
        <f>(I57-H57)/H57</f>
        <v>0.24637681159420291</v>
      </c>
      <c r="J59" s="105"/>
    </row>
    <row r="60" spans="1:10" ht="13" x14ac:dyDescent="0.3">
      <c r="A60" s="91"/>
      <c r="B60" s="74"/>
      <c r="C60" s="74"/>
      <c r="D60" s="74"/>
      <c r="E60" s="74"/>
      <c r="F60" s="74"/>
      <c r="G60" s="74"/>
      <c r="H60" s="76"/>
      <c r="I60" s="76"/>
      <c r="J60" s="95"/>
    </row>
    <row r="61" spans="1:10" ht="13.5" thickBot="1" x14ac:dyDescent="0.35">
      <c r="A61" s="448"/>
      <c r="B61" s="123"/>
      <c r="C61" s="123"/>
      <c r="D61" s="123"/>
      <c r="E61" s="123"/>
      <c r="F61" s="123"/>
      <c r="G61" s="123"/>
      <c r="H61" s="108"/>
      <c r="I61" s="108"/>
      <c r="J61" s="95"/>
    </row>
    <row r="62" spans="1:10" ht="13.5" thickTop="1" x14ac:dyDescent="0.3">
      <c r="A62" s="91"/>
      <c r="B62" s="74"/>
      <c r="C62" s="74"/>
      <c r="D62" s="74"/>
      <c r="E62" s="74"/>
      <c r="F62" s="74"/>
      <c r="G62" s="74"/>
      <c r="H62" s="76"/>
      <c r="I62" s="76"/>
      <c r="J62" s="95"/>
    </row>
    <row r="63" spans="1:10" ht="13" x14ac:dyDescent="0.3">
      <c r="A63" s="91"/>
      <c r="B63" s="74"/>
      <c r="C63" s="74"/>
      <c r="D63" s="74"/>
      <c r="E63" s="74"/>
      <c r="F63" s="74"/>
      <c r="G63" s="74"/>
      <c r="H63" s="76"/>
      <c r="I63" s="76"/>
      <c r="J63" s="95"/>
    </row>
    <row r="64" spans="1:10" ht="13" x14ac:dyDescent="0.3">
      <c r="A64" s="91"/>
      <c r="B64" s="92" t="s">
        <v>701</v>
      </c>
      <c r="C64" s="93"/>
      <c r="D64" s="93"/>
      <c r="E64" s="93"/>
      <c r="F64" s="93"/>
      <c r="G64" s="93"/>
      <c r="H64" s="74"/>
      <c r="I64" s="74"/>
      <c r="J64" s="105"/>
    </row>
    <row r="65" spans="1:10" ht="13" x14ac:dyDescent="0.3">
      <c r="A65" s="91"/>
      <c r="B65" s="104"/>
      <c r="C65" s="74"/>
      <c r="D65" s="74"/>
      <c r="E65" s="74"/>
      <c r="F65" s="74"/>
      <c r="G65" s="74"/>
      <c r="H65" s="74"/>
      <c r="I65" s="74"/>
      <c r="J65" s="105"/>
    </row>
    <row r="66" spans="1:10" ht="13" x14ac:dyDescent="0.3">
      <c r="A66" s="91"/>
      <c r="B66" s="74" t="s">
        <v>1</v>
      </c>
      <c r="C66" s="74"/>
      <c r="D66" s="74"/>
      <c r="E66" s="74"/>
      <c r="F66" s="74"/>
      <c r="G66" s="74"/>
      <c r="H66" s="74"/>
      <c r="I66" s="74"/>
      <c r="J66" s="95"/>
    </row>
    <row r="67" spans="1:10" ht="13" x14ac:dyDescent="0.3">
      <c r="A67" s="91"/>
      <c r="B67" s="74"/>
      <c r="C67" s="74"/>
      <c r="D67" s="74"/>
      <c r="E67" s="74"/>
      <c r="F67" s="74"/>
      <c r="G67" s="74"/>
      <c r="H67" s="103" t="str">
        <f>+'Unit tariffs'!$E$11</f>
        <v>2025/2026</v>
      </c>
      <c r="I67" s="103" t="str">
        <f>+'Unit tariffs'!$F$11</f>
        <v>2026/2027</v>
      </c>
      <c r="J67" s="95"/>
    </row>
    <row r="68" spans="1:10" ht="13" x14ac:dyDescent="0.3">
      <c r="A68" s="91"/>
      <c r="B68" s="104" t="s">
        <v>62</v>
      </c>
      <c r="C68" s="74"/>
      <c r="D68" s="74"/>
      <c r="E68" s="74"/>
      <c r="F68" s="74"/>
      <c r="G68" s="74"/>
      <c r="H68" s="74"/>
      <c r="I68" s="74"/>
      <c r="J68" s="105"/>
    </row>
    <row r="69" spans="1:10" ht="13" x14ac:dyDescent="0.3">
      <c r="A69" s="91"/>
      <c r="B69" s="74"/>
      <c r="C69" s="74"/>
      <c r="D69" s="74"/>
      <c r="E69" s="74"/>
      <c r="F69" s="74"/>
      <c r="G69" s="74"/>
      <c r="J69" s="105"/>
    </row>
    <row r="70" spans="1:10" ht="13" x14ac:dyDescent="0.3">
      <c r="A70" s="91"/>
      <c r="B70" s="104" t="s">
        <v>42</v>
      </c>
      <c r="C70" s="74"/>
      <c r="D70" s="74"/>
      <c r="E70" s="74"/>
      <c r="F70" s="74"/>
      <c r="G70" s="74"/>
      <c r="H70" s="76"/>
      <c r="I70" s="76"/>
      <c r="J70" s="105"/>
    </row>
    <row r="71" spans="1:10" ht="13" x14ac:dyDescent="0.3">
      <c r="A71" s="91"/>
      <c r="B71" s="104" t="s">
        <v>560</v>
      </c>
      <c r="C71" s="104" t="s">
        <v>561</v>
      </c>
      <c r="D71" s="74"/>
      <c r="E71" s="74"/>
      <c r="F71" s="74"/>
      <c r="G71" s="74"/>
      <c r="H71" s="76"/>
      <c r="I71" s="76"/>
      <c r="J71" s="105"/>
    </row>
    <row r="72" spans="1:10" ht="13" x14ac:dyDescent="0.3">
      <c r="A72" s="91"/>
      <c r="B72" s="74">
        <v>10</v>
      </c>
      <c r="C72" s="74" t="str">
        <f>'Unit tariffs'!B89</f>
        <v xml:space="preserve">hour-Eng asst </v>
      </c>
      <c r="D72" s="74"/>
      <c r="E72" s="74"/>
      <c r="F72" s="74"/>
      <c r="G72" s="74"/>
      <c r="H72" s="76">
        <v>2655.6607788461542</v>
      </c>
      <c r="I72" s="76">
        <f>VLOOKUP($C72,'Unit tariffs'!$B$21:$F$123,5,FALSE)*$B72</f>
        <v>3068.2062461538462</v>
      </c>
      <c r="J72" s="105"/>
    </row>
    <row r="73" spans="1:10" ht="13" x14ac:dyDescent="0.3">
      <c r="A73" s="91"/>
      <c r="B73" s="646">
        <v>10</v>
      </c>
      <c r="C73" s="74" t="str">
        <f>'Unit tariffs'!B90</f>
        <v>hour-Snr Eng Assistant</v>
      </c>
      <c r="D73" s="74"/>
      <c r="E73" s="74"/>
      <c r="F73" s="74"/>
      <c r="G73" s="74"/>
      <c r="H73" s="76">
        <v>3228.5223173076924</v>
      </c>
      <c r="I73" s="76">
        <f>VLOOKUP($C73,'Unit tariffs'!$B$21:$F$123,5,FALSE)*$B73</f>
        <v>3511.927661538462</v>
      </c>
      <c r="J73" s="105"/>
    </row>
    <row r="74" spans="1:10" ht="13" x14ac:dyDescent="0.3">
      <c r="A74" s="91"/>
      <c r="B74" s="646">
        <v>10</v>
      </c>
      <c r="C74" s="74" t="str">
        <f>'Unit tariffs'!B91</f>
        <v>hour-First Eng Assistant</v>
      </c>
      <c r="D74" s="74"/>
      <c r="E74" s="74"/>
      <c r="F74" s="74"/>
      <c r="G74" s="74"/>
      <c r="H74" s="81">
        <v>3423.2057307692312</v>
      </c>
      <c r="I74" s="81">
        <f>VLOOKUP($C74,'Unit tariffs'!$B$21:$F$123,5,FALSE)*$B74</f>
        <v>4213.5599076923081</v>
      </c>
      <c r="J74" s="105"/>
    </row>
    <row r="75" spans="1:10" ht="13" x14ac:dyDescent="0.3">
      <c r="A75" s="91"/>
      <c r="C75" s="74"/>
      <c r="D75" s="74"/>
      <c r="E75" s="74"/>
      <c r="F75" s="74"/>
      <c r="G75" s="74"/>
      <c r="H75" s="76">
        <v>9307.3888269230774</v>
      </c>
      <c r="I75" s="76">
        <f>SUM(I72:I74)</f>
        <v>10793.693815384617</v>
      </c>
      <c r="J75" s="76"/>
    </row>
    <row r="76" spans="1:10" ht="13" x14ac:dyDescent="0.3">
      <c r="A76" s="91"/>
      <c r="B76" s="104" t="s">
        <v>562</v>
      </c>
      <c r="D76" s="74"/>
      <c r="E76" s="74"/>
      <c r="F76" s="74"/>
      <c r="G76" s="74"/>
      <c r="H76" s="74" t="s">
        <v>1</v>
      </c>
      <c r="I76" s="74" t="s">
        <v>1</v>
      </c>
      <c r="J76" s="105"/>
    </row>
    <row r="77" spans="1:10" ht="13" x14ac:dyDescent="0.3">
      <c r="A77" s="91"/>
      <c r="B77" s="104"/>
      <c r="C77" s="74" t="s">
        <v>702</v>
      </c>
      <c r="D77" s="74"/>
      <c r="E77" s="74"/>
      <c r="F77" s="74"/>
      <c r="G77" s="74"/>
      <c r="H77" s="76">
        <v>4093.75</v>
      </c>
      <c r="I77" s="76">
        <f>250*21.99</f>
        <v>5497.5</v>
      </c>
      <c r="J77" s="105"/>
    </row>
    <row r="78" spans="1:10" ht="13" x14ac:dyDescent="0.3">
      <c r="A78" s="91"/>
      <c r="B78" s="104"/>
      <c r="C78" s="74"/>
      <c r="D78" s="74"/>
      <c r="E78" s="74"/>
      <c r="F78" s="74"/>
      <c r="G78" s="74"/>
      <c r="H78" s="137">
        <v>4093.75</v>
      </c>
      <c r="I78" s="137">
        <f>SUM(I77)</f>
        <v>5497.5</v>
      </c>
      <c r="J78" s="95"/>
    </row>
    <row r="79" spans="1:10" ht="13" x14ac:dyDescent="0.3">
      <c r="A79" s="91"/>
      <c r="J79" s="110"/>
    </row>
    <row r="80" spans="1:10" ht="13" x14ac:dyDescent="0.3">
      <c r="A80" s="91"/>
      <c r="J80" s="105"/>
    </row>
    <row r="81" spans="1:13" ht="13" x14ac:dyDescent="0.3">
      <c r="A81" s="91"/>
      <c r="B81" s="74"/>
      <c r="C81" s="74"/>
      <c r="D81" s="74"/>
      <c r="E81" s="74"/>
      <c r="F81" s="74"/>
      <c r="G81" s="76"/>
      <c r="H81" s="76">
        <v>13401.138826923077</v>
      </c>
      <c r="I81" s="76">
        <f>I75+I78</f>
        <v>16291.193815384617</v>
      </c>
      <c r="J81" s="113"/>
    </row>
    <row r="82" spans="1:13" ht="13.5" thickBot="1" x14ac:dyDescent="0.35">
      <c r="A82" s="91"/>
      <c r="B82" s="104" t="str">
        <f>'Unit tariffs'!$B$7</f>
        <v>Administration Levy (Indirect Cost)</v>
      </c>
      <c r="C82" s="74"/>
      <c r="D82" s="106">
        <f>'Unit tariffs'!$C$7</f>
        <v>0.1</v>
      </c>
      <c r="E82" s="74" t="s">
        <v>311</v>
      </c>
      <c r="F82" s="186">
        <f>+'Unit tariffs'!$F$7</f>
        <v>10000</v>
      </c>
      <c r="G82" s="76"/>
      <c r="H82" s="108">
        <v>1340.1138826923079</v>
      </c>
      <c r="I82" s="108">
        <f>IF(I81*$D82&gt;='Unit tariffs'!$E$7,'Unit tariffs'!$E$7,I81*$D82)</f>
        <v>1629.1193815384618</v>
      </c>
      <c r="J82" s="95"/>
    </row>
    <row r="83" spans="1:13" ht="13.5" thickTop="1" x14ac:dyDescent="0.3">
      <c r="A83" s="91"/>
      <c r="B83" s="104" t="s">
        <v>44</v>
      </c>
      <c r="C83" s="74"/>
      <c r="D83" s="74"/>
      <c r="E83" s="74"/>
      <c r="F83" s="74"/>
      <c r="G83" s="76"/>
      <c r="H83" s="109">
        <v>14741.252709615386</v>
      </c>
      <c r="I83" s="109">
        <f>SUM(I81:I82)</f>
        <v>17920.313196923078</v>
      </c>
      <c r="J83" s="95"/>
      <c r="K83" s="111"/>
      <c r="L83" s="76"/>
      <c r="M83" s="659"/>
    </row>
    <row r="84" spans="1:13" ht="13" x14ac:dyDescent="0.3">
      <c r="A84" s="91"/>
      <c r="B84" s="74"/>
      <c r="C84" s="74"/>
      <c r="D84" s="74"/>
      <c r="E84" s="74"/>
      <c r="F84" s="74"/>
      <c r="G84" s="74"/>
      <c r="H84" s="74"/>
      <c r="I84" s="74"/>
      <c r="J84" s="95"/>
      <c r="K84" s="111"/>
      <c r="L84" s="76"/>
      <c r="M84" s="659"/>
    </row>
    <row r="85" spans="1:13" ht="13" x14ac:dyDescent="0.3">
      <c r="A85" s="91"/>
      <c r="B85" s="74"/>
      <c r="C85" s="74"/>
      <c r="D85" s="74"/>
      <c r="E85" s="74"/>
      <c r="F85" s="74"/>
      <c r="G85" s="74"/>
      <c r="H85" s="74"/>
      <c r="I85" s="74"/>
      <c r="J85" s="95"/>
    </row>
    <row r="86" spans="1:13" ht="13" x14ac:dyDescent="0.3">
      <c r="A86" s="91"/>
      <c r="B86" s="104" t="s">
        <v>45</v>
      </c>
      <c r="C86" s="74"/>
      <c r="D86" s="74"/>
      <c r="E86" s="74"/>
      <c r="F86" s="74"/>
      <c r="G86" s="74"/>
      <c r="H86" s="84">
        <v>14740</v>
      </c>
      <c r="I86" s="84">
        <f>ROUND(I83,-1)</f>
        <v>17920</v>
      </c>
      <c r="J86" s="95"/>
    </row>
    <row r="87" spans="1:13" ht="13" x14ac:dyDescent="0.3">
      <c r="A87" s="91"/>
      <c r="B87" s="74"/>
      <c r="C87" s="74"/>
      <c r="D87" s="74"/>
      <c r="E87" s="74"/>
      <c r="F87" s="74"/>
      <c r="G87" s="74"/>
      <c r="H87" s="76"/>
      <c r="I87" s="76"/>
      <c r="J87" s="95"/>
    </row>
    <row r="88" spans="1:13" ht="13" x14ac:dyDescent="0.3">
      <c r="A88" s="91"/>
      <c r="B88" s="74"/>
      <c r="C88" s="74"/>
      <c r="D88" s="74"/>
      <c r="E88" s="74"/>
      <c r="F88" s="74"/>
      <c r="G88" s="74"/>
      <c r="H88" s="112">
        <v>0</v>
      </c>
      <c r="I88" s="112">
        <f>(I86-H86)/H86</f>
        <v>0.2157394843962008</v>
      </c>
      <c r="J88" s="95"/>
    </row>
    <row r="89" spans="1:13" ht="13" x14ac:dyDescent="0.3">
      <c r="A89" s="91"/>
      <c r="B89" s="74"/>
      <c r="C89" s="74"/>
      <c r="D89" s="74"/>
      <c r="E89" s="74"/>
      <c r="F89" s="74"/>
      <c r="G89" s="74"/>
      <c r="H89" s="112"/>
      <c r="I89" s="112"/>
      <c r="J89" s="95"/>
    </row>
    <row r="90" spans="1:13" ht="13" x14ac:dyDescent="0.3">
      <c r="A90" s="91"/>
      <c r="B90" s="74"/>
      <c r="C90" s="74"/>
      <c r="D90" s="74"/>
      <c r="E90" s="74"/>
      <c r="F90" s="74"/>
      <c r="G90" s="74"/>
      <c r="H90" s="112"/>
      <c r="I90" s="112"/>
      <c r="J90" s="95"/>
    </row>
    <row r="91" spans="1:13" ht="13" x14ac:dyDescent="0.3">
      <c r="A91" s="91"/>
      <c r="B91" s="74"/>
      <c r="C91" s="74"/>
      <c r="D91" s="74"/>
      <c r="E91" s="74"/>
      <c r="F91" s="74"/>
      <c r="G91" s="74"/>
      <c r="H91" s="76"/>
      <c r="I91" s="76"/>
      <c r="J91" s="95"/>
    </row>
    <row r="92" spans="1:13" ht="13.5" thickBot="1" x14ac:dyDescent="0.35">
      <c r="A92" s="448"/>
      <c r="B92" s="123"/>
      <c r="C92" s="123"/>
      <c r="D92" s="123"/>
      <c r="E92" s="123"/>
      <c r="F92" s="123"/>
      <c r="G92" s="123"/>
      <c r="H92" s="108"/>
      <c r="I92" s="108"/>
      <c r="J92" s="95"/>
    </row>
    <row r="93" spans="1:13" ht="13.5" thickTop="1" x14ac:dyDescent="0.3">
      <c r="A93" s="91"/>
      <c r="B93" s="74"/>
      <c r="C93" s="74"/>
      <c r="D93" s="74"/>
      <c r="E93" s="74"/>
      <c r="F93" s="74"/>
      <c r="G93" s="74"/>
      <c r="H93" s="76"/>
      <c r="I93" s="76"/>
      <c r="J93" s="95"/>
    </row>
    <row r="94" spans="1:13" ht="13" x14ac:dyDescent="0.3">
      <c r="A94" s="91"/>
      <c r="B94" s="74"/>
      <c r="C94" s="74"/>
      <c r="D94" s="74"/>
      <c r="E94" s="74"/>
      <c r="F94" s="74"/>
      <c r="G94" s="74"/>
      <c r="H94" s="76"/>
      <c r="I94" s="76"/>
      <c r="J94" s="95"/>
    </row>
    <row r="95" spans="1:13" ht="13.25" customHeight="1" x14ac:dyDescent="0.3">
      <c r="A95" s="91"/>
      <c r="B95" s="92" t="s">
        <v>703</v>
      </c>
      <c r="C95" s="824"/>
      <c r="D95" s="824"/>
      <c r="E95" s="824"/>
      <c r="F95" s="824"/>
      <c r="G95" s="825"/>
      <c r="H95" s="76"/>
      <c r="I95" s="76"/>
      <c r="J95" s="95"/>
    </row>
    <row r="96" spans="1:13" ht="13" x14ac:dyDescent="0.3">
      <c r="A96" s="91"/>
      <c r="B96" s="74"/>
      <c r="C96" s="74"/>
      <c r="D96" s="74"/>
      <c r="E96" s="74"/>
      <c r="F96" s="74"/>
      <c r="G96" s="74"/>
      <c r="H96" s="76"/>
      <c r="I96" s="76"/>
      <c r="J96" s="95"/>
    </row>
    <row r="97" spans="1:10" ht="28.25" customHeight="1" x14ac:dyDescent="0.3">
      <c r="A97" s="91"/>
      <c r="B97" s="92" t="s">
        <v>704</v>
      </c>
      <c r="C97" s="824"/>
      <c r="D97" s="824"/>
      <c r="E97" s="824"/>
      <c r="F97" s="824"/>
      <c r="G97" s="825"/>
      <c r="H97" s="132"/>
      <c r="I97" s="132"/>
      <c r="J97" s="95"/>
    </row>
    <row r="98" spans="1:10" ht="13" x14ac:dyDescent="0.3">
      <c r="A98" s="91"/>
      <c r="B98" s="74" t="s">
        <v>1</v>
      </c>
      <c r="C98" s="74"/>
      <c r="D98" s="74"/>
      <c r="E98" s="74"/>
      <c r="F98" s="74"/>
      <c r="G98" s="74"/>
      <c r="H98" s="103" t="str">
        <f>+'Unit tariffs'!$E$11</f>
        <v>2025/2026</v>
      </c>
      <c r="I98" s="103" t="str">
        <f>+'Unit tariffs'!$F$11</f>
        <v>2026/2027</v>
      </c>
      <c r="J98" s="95"/>
    </row>
    <row r="99" spans="1:10" ht="13" x14ac:dyDescent="0.3">
      <c r="A99" s="91"/>
      <c r="B99" s="104" t="s">
        <v>41</v>
      </c>
      <c r="C99" s="74"/>
      <c r="D99" s="74"/>
      <c r="E99" s="74"/>
      <c r="F99" s="74"/>
      <c r="G99" s="74"/>
      <c r="H99" s="74"/>
      <c r="I99" s="74"/>
      <c r="J99" s="95"/>
    </row>
    <row r="100" spans="1:10" ht="13" x14ac:dyDescent="0.3">
      <c r="A100" s="91"/>
      <c r="B100" s="74">
        <v>1</v>
      </c>
      <c r="C100" s="74" t="s">
        <v>17</v>
      </c>
      <c r="D100" s="74"/>
      <c r="E100" s="74"/>
      <c r="F100" s="74"/>
      <c r="G100" s="74"/>
      <c r="H100" s="81">
        <v>271.44100000000003</v>
      </c>
      <c r="I100" s="81">
        <f>VLOOKUP($C100,'Unit tariffs'!$B$21:$F$123,5,FALSE)*$B100</f>
        <v>282.48325</v>
      </c>
      <c r="J100" s="95"/>
    </row>
    <row r="101" spans="1:10" ht="13" x14ac:dyDescent="0.3">
      <c r="A101" s="91"/>
      <c r="B101" s="74"/>
      <c r="C101" s="74"/>
      <c r="D101" s="74"/>
      <c r="E101" s="74"/>
      <c r="F101" s="74"/>
      <c r="G101" s="76"/>
      <c r="H101" s="76">
        <v>271.44100000000003</v>
      </c>
      <c r="I101" s="76">
        <f>SUM(I100:I100)</f>
        <v>282.48325</v>
      </c>
      <c r="J101" s="95"/>
    </row>
    <row r="102" spans="1:10" ht="13" x14ac:dyDescent="0.3">
      <c r="A102" s="91"/>
      <c r="B102" s="74"/>
      <c r="C102" s="74"/>
      <c r="D102" s="74"/>
      <c r="E102" s="74"/>
      <c r="F102" s="74"/>
      <c r="G102" s="74"/>
      <c r="H102" s="74"/>
      <c r="I102" s="74"/>
      <c r="J102" s="95"/>
    </row>
    <row r="103" spans="1:10" ht="13" x14ac:dyDescent="0.3">
      <c r="A103" s="91"/>
      <c r="B103" s="104" t="s">
        <v>42</v>
      </c>
      <c r="C103" s="74"/>
      <c r="D103" s="74"/>
      <c r="E103" s="74"/>
      <c r="F103" s="74"/>
      <c r="G103" s="74"/>
      <c r="H103" s="74"/>
      <c r="I103" s="74"/>
      <c r="J103" s="95"/>
    </row>
    <row r="104" spans="1:10" ht="13" x14ac:dyDescent="0.3">
      <c r="A104" s="91"/>
      <c r="B104" s="74"/>
      <c r="C104" s="74"/>
      <c r="D104" s="74"/>
      <c r="E104" s="74"/>
      <c r="F104" s="74"/>
      <c r="G104" s="74"/>
      <c r="H104" s="74"/>
      <c r="I104" s="74"/>
      <c r="J104" s="95"/>
    </row>
    <row r="105" spans="1:10" ht="13" x14ac:dyDescent="0.3">
      <c r="A105" s="91"/>
      <c r="B105" s="74">
        <v>0.75</v>
      </c>
      <c r="C105" s="74" t="str">
        <f>'Unit tariffs'!B87</f>
        <v xml:space="preserve">hour-artisan </v>
      </c>
      <c r="D105" s="74"/>
      <c r="E105" s="74"/>
      <c r="F105" s="74"/>
      <c r="G105" s="74"/>
      <c r="H105" s="76">
        <v>242.13917379807691</v>
      </c>
      <c r="I105" s="76">
        <f>VLOOKUP($C105,'Unit tariffs'!$B$21:$F$123,5,FALSE)*$B105</f>
        <v>263.39457461538467</v>
      </c>
      <c r="J105" s="95"/>
    </row>
    <row r="106" spans="1:10" ht="13" x14ac:dyDescent="0.3">
      <c r="A106" s="91"/>
      <c r="B106" s="74">
        <v>1.5</v>
      </c>
      <c r="C106" s="74" t="str">
        <f>'Unit tariffs'!B85</f>
        <v>hour-artisan assistant</v>
      </c>
      <c r="D106" s="74"/>
      <c r="E106" s="74"/>
      <c r="F106" s="74"/>
      <c r="G106" s="74"/>
      <c r="H106" s="81">
        <v>192.80371153846158</v>
      </c>
      <c r="I106" s="81">
        <f>VLOOKUP($C106,'Unit tariffs'!$B$21:$F$140,5,FALSE)*$B106</f>
        <v>209.73638769230772</v>
      </c>
      <c r="J106" s="95"/>
    </row>
    <row r="107" spans="1:10" ht="13" x14ac:dyDescent="0.3">
      <c r="A107" s="91"/>
      <c r="B107" s="74"/>
      <c r="C107" s="74"/>
      <c r="D107" s="74"/>
      <c r="E107" s="74"/>
      <c r="F107" s="74"/>
      <c r="G107" s="74"/>
      <c r="H107" s="76">
        <v>434.9428853365385</v>
      </c>
      <c r="I107" s="76">
        <f>SUM(I105:I106)</f>
        <v>473.13096230769236</v>
      </c>
      <c r="J107" s="95"/>
    </row>
    <row r="108" spans="1:10" ht="13" x14ac:dyDescent="0.3">
      <c r="A108" s="91"/>
      <c r="B108" s="104" t="s">
        <v>43</v>
      </c>
      <c r="C108" s="74"/>
      <c r="D108" s="74"/>
      <c r="E108" s="74"/>
      <c r="F108" s="74"/>
      <c r="G108" s="74"/>
      <c r="H108" s="74"/>
      <c r="I108" s="74"/>
      <c r="J108" s="95"/>
    </row>
    <row r="109" spans="1:10" ht="13" x14ac:dyDescent="0.3">
      <c r="A109" s="91"/>
      <c r="B109" s="74"/>
      <c r="C109" s="74"/>
      <c r="D109" s="74"/>
      <c r="E109" s="74"/>
      <c r="F109" s="74"/>
      <c r="G109" s="74"/>
      <c r="H109" s="74"/>
      <c r="I109" s="74"/>
      <c r="J109" s="95"/>
    </row>
    <row r="110" spans="1:10" ht="13" x14ac:dyDescent="0.3">
      <c r="A110" s="91"/>
      <c r="B110" s="74">
        <v>24</v>
      </c>
      <c r="C110" s="74" t="str">
        <f>'Unit tariffs'!B111</f>
        <v>km-truck with platform</v>
      </c>
      <c r="D110" s="74"/>
      <c r="E110" s="74"/>
      <c r="F110" s="74"/>
      <c r="G110" s="74"/>
      <c r="H110" s="76">
        <v>1010.8920834182238</v>
      </c>
      <c r="I110" s="76">
        <f>VLOOKUP($C110,'Unit tariffs'!$B$21:$F$123,5,FALSE)*$B110</f>
        <v>1182.7997218118533</v>
      </c>
      <c r="J110" s="95"/>
    </row>
    <row r="111" spans="1:10" ht="13" x14ac:dyDescent="0.3">
      <c r="A111" s="91"/>
      <c r="B111" s="74">
        <v>0.75</v>
      </c>
      <c r="C111" s="74" t="str">
        <f>'Unit tariffs'!B112</f>
        <v>hour-truck with platform</v>
      </c>
      <c r="D111" s="74"/>
      <c r="E111" s="74"/>
      <c r="F111" s="74"/>
      <c r="G111" s="74"/>
      <c r="H111" s="76">
        <v>153.73831298375484</v>
      </c>
      <c r="I111" s="76">
        <f>VLOOKUP($C111,'Unit tariffs'!$B$21:$F$123,5,FALSE)*$B111</f>
        <v>179.8823403722094</v>
      </c>
      <c r="J111" s="95"/>
    </row>
    <row r="112" spans="1:10" ht="13" x14ac:dyDescent="0.3">
      <c r="A112" s="91"/>
      <c r="B112" s="74"/>
      <c r="C112" s="74"/>
      <c r="D112" s="74"/>
      <c r="E112" s="74"/>
      <c r="F112" s="74"/>
      <c r="G112" s="74"/>
      <c r="H112" s="137">
        <v>1164.6303964019787</v>
      </c>
      <c r="I112" s="137">
        <f>SUM(I110:I111)</f>
        <v>1362.6820621840627</v>
      </c>
      <c r="J112" s="95"/>
    </row>
    <row r="113" spans="1:10" ht="13" x14ac:dyDescent="0.3">
      <c r="A113" s="91"/>
      <c r="B113" s="104"/>
      <c r="C113" s="74"/>
      <c r="D113" s="106"/>
      <c r="E113" s="74"/>
      <c r="F113" s="74"/>
      <c r="G113" s="74"/>
      <c r="H113" s="76"/>
      <c r="I113" s="76"/>
      <c r="J113" s="95"/>
    </row>
    <row r="114" spans="1:10" ht="13" x14ac:dyDescent="0.3">
      <c r="J114" s="95"/>
    </row>
    <row r="115" spans="1:10" ht="13" x14ac:dyDescent="0.3">
      <c r="J115" s="95"/>
    </row>
    <row r="116" spans="1:10" ht="13" x14ac:dyDescent="0.3">
      <c r="A116" s="91"/>
      <c r="B116" s="74"/>
      <c r="C116" s="74"/>
      <c r="D116" s="74"/>
      <c r="E116" s="74"/>
      <c r="F116" s="74"/>
      <c r="G116" s="76"/>
      <c r="H116" s="76">
        <v>1871.0142817385172</v>
      </c>
      <c r="I116" s="76">
        <f>+I112+I107+I101</f>
        <v>2118.296274491755</v>
      </c>
      <c r="J116" s="95"/>
    </row>
    <row r="117" spans="1:10" ht="13.5" thickBot="1" x14ac:dyDescent="0.35">
      <c r="A117" s="91"/>
      <c r="B117" s="104" t="str">
        <f>'Unit tariffs'!$B$7</f>
        <v>Administration Levy (Indirect Cost)</v>
      </c>
      <c r="C117" s="74"/>
      <c r="D117" s="106">
        <f>'Unit tariffs'!$C$7</f>
        <v>0.1</v>
      </c>
      <c r="E117" s="74" t="s">
        <v>311</v>
      </c>
      <c r="F117" s="186">
        <f>+'Unit tariffs'!$F$7</f>
        <v>10000</v>
      </c>
      <c r="G117" s="76"/>
      <c r="H117" s="108">
        <v>187.10142817385173</v>
      </c>
      <c r="I117" s="108">
        <f>IF(I116*$D117&gt;='Unit tariffs'!$E$7,'Unit tariffs'!$E$7,I116*$D117)</f>
        <v>211.82962744917552</v>
      </c>
      <c r="J117" s="95"/>
    </row>
    <row r="118" spans="1:10" ht="13.5" thickTop="1" x14ac:dyDescent="0.3">
      <c r="A118" s="91"/>
      <c r="B118" s="104" t="s">
        <v>44</v>
      </c>
      <c r="C118" s="74"/>
      <c r="D118" s="74"/>
      <c r="E118" s="74"/>
      <c r="F118" s="74"/>
      <c r="G118" s="76"/>
      <c r="H118" s="109">
        <v>2058.1157099123689</v>
      </c>
      <c r="I118" s="109">
        <f>SUM(I116:I117)</f>
        <v>2330.1259019409304</v>
      </c>
      <c r="J118" s="95"/>
    </row>
    <row r="119" spans="1:10" ht="13" x14ac:dyDescent="0.3">
      <c r="A119" s="91"/>
      <c r="B119" s="74"/>
      <c r="C119" s="74"/>
      <c r="D119" s="74"/>
      <c r="E119" s="74"/>
      <c r="F119" s="74"/>
      <c r="G119" s="74"/>
      <c r="H119" s="74"/>
      <c r="I119" s="74"/>
      <c r="J119" s="95"/>
    </row>
    <row r="120" spans="1:10" ht="13" x14ac:dyDescent="0.3">
      <c r="A120" s="91"/>
      <c r="B120" s="104" t="s">
        <v>45</v>
      </c>
      <c r="C120" s="74"/>
      <c r="D120" s="74"/>
      <c r="E120" s="74"/>
      <c r="F120" s="74"/>
      <c r="G120" s="74"/>
      <c r="H120" s="84">
        <v>2060</v>
      </c>
      <c r="I120" s="84">
        <f>ROUND(I118,-1)</f>
        <v>2330</v>
      </c>
      <c r="J120" s="95"/>
    </row>
    <row r="121" spans="1:10" ht="13" x14ac:dyDescent="0.3">
      <c r="A121" s="91"/>
      <c r="H121" s="76"/>
      <c r="I121" s="76"/>
      <c r="J121" s="95"/>
    </row>
    <row r="122" spans="1:10" ht="13" x14ac:dyDescent="0.3">
      <c r="A122" s="91"/>
      <c r="B122" s="74"/>
      <c r="C122" s="74"/>
      <c r="D122" s="74"/>
      <c r="E122" s="74"/>
      <c r="F122" s="74"/>
      <c r="G122" s="74"/>
      <c r="H122" s="112">
        <v>0</v>
      </c>
      <c r="I122" s="112">
        <f>(I120-H120)/H120</f>
        <v>0.13106796116504854</v>
      </c>
      <c r="J122" s="95"/>
    </row>
    <row r="123" spans="1:10" ht="13" x14ac:dyDescent="0.3">
      <c r="A123" s="91"/>
      <c r="B123" s="74"/>
      <c r="C123" s="74"/>
      <c r="D123" s="74"/>
      <c r="E123" s="74"/>
      <c r="F123" s="74"/>
      <c r="G123" s="74"/>
      <c r="H123" s="112"/>
      <c r="I123" s="112"/>
      <c r="J123" s="95"/>
    </row>
    <row r="124" spans="1:10" ht="13" x14ac:dyDescent="0.3">
      <c r="A124" s="91"/>
      <c r="B124" s="74"/>
      <c r="C124" s="74"/>
      <c r="D124" s="74"/>
      <c r="E124" s="74"/>
      <c r="F124" s="74"/>
      <c r="G124" s="74"/>
      <c r="H124" s="112"/>
      <c r="I124" s="112"/>
      <c r="J124" s="95"/>
    </row>
    <row r="125" spans="1:10" ht="13.5" thickBot="1" x14ac:dyDescent="0.35">
      <c r="A125" s="448"/>
      <c r="B125" s="74"/>
      <c r="C125" s="74"/>
      <c r="D125" s="74"/>
      <c r="E125" s="74"/>
      <c r="F125" s="74"/>
      <c r="G125" s="74"/>
      <c r="H125" s="123"/>
      <c r="I125" s="123"/>
      <c r="J125" s="95"/>
    </row>
    <row r="126" spans="1:10" ht="13.5" thickTop="1" x14ac:dyDescent="0.3">
      <c r="A126" s="91"/>
      <c r="B126" s="120"/>
      <c r="C126" s="120"/>
      <c r="D126" s="120"/>
      <c r="E126" s="120"/>
      <c r="F126" s="120"/>
      <c r="G126" s="120"/>
      <c r="H126" s="74"/>
      <c r="I126" s="74"/>
      <c r="J126" s="95"/>
    </row>
    <row r="127" spans="1:10" ht="13" x14ac:dyDescent="0.3">
      <c r="A127" s="91"/>
      <c r="B127" s="74"/>
      <c r="C127" s="74"/>
      <c r="D127" s="74"/>
      <c r="E127" s="74"/>
      <c r="F127" s="74"/>
      <c r="G127" s="74"/>
      <c r="H127" s="74"/>
      <c r="I127" s="74"/>
      <c r="J127" s="95"/>
    </row>
    <row r="128" spans="1:10" ht="13" x14ac:dyDescent="0.3">
      <c r="A128" s="91"/>
      <c r="B128" s="74" t="s">
        <v>1</v>
      </c>
      <c r="C128" s="74"/>
      <c r="D128" s="74"/>
      <c r="E128" s="74"/>
      <c r="F128" s="74"/>
      <c r="G128" s="74"/>
      <c r="H128" s="74"/>
      <c r="I128" s="74"/>
      <c r="J128" s="95"/>
    </row>
    <row r="129" spans="1:10" ht="29.25" customHeight="1" x14ac:dyDescent="0.3">
      <c r="A129" s="91"/>
      <c r="B129" s="147" t="s">
        <v>705</v>
      </c>
      <c r="C129" s="391"/>
      <c r="D129" s="93"/>
      <c r="E129" s="93"/>
      <c r="F129" s="93"/>
      <c r="G129" s="94"/>
      <c r="H129" s="74"/>
      <c r="I129" s="74"/>
      <c r="J129" s="95"/>
    </row>
    <row r="130" spans="1:10" ht="13" x14ac:dyDescent="0.3">
      <c r="A130" s="91"/>
      <c r="B130" s="74"/>
      <c r="C130" s="74"/>
      <c r="D130" s="74"/>
      <c r="E130" s="74"/>
      <c r="F130" s="74"/>
      <c r="G130" s="74"/>
      <c r="H130" s="103" t="str">
        <f>+'Unit tariffs'!$F$11</f>
        <v>2026/2027</v>
      </c>
      <c r="I130" s="103" t="str">
        <f>+'Unit tariffs'!$F$11</f>
        <v>2026/2027</v>
      </c>
      <c r="J130" s="95"/>
    </row>
    <row r="131" spans="1:10" ht="13" x14ac:dyDescent="0.3">
      <c r="A131" s="91"/>
      <c r="B131" s="74"/>
      <c r="C131" s="74"/>
      <c r="D131" s="74"/>
      <c r="E131" s="74"/>
      <c r="F131" s="74"/>
      <c r="G131" s="74"/>
      <c r="H131" s="74"/>
      <c r="I131" s="74"/>
      <c r="J131" s="95"/>
    </row>
    <row r="132" spans="1:10" ht="13" x14ac:dyDescent="0.3">
      <c r="A132" s="91"/>
      <c r="B132" s="104" t="s">
        <v>41</v>
      </c>
      <c r="C132" s="74"/>
      <c r="D132" s="74"/>
      <c r="E132" s="74"/>
      <c r="F132" s="74"/>
      <c r="G132" s="74"/>
      <c r="H132" s="74"/>
      <c r="I132" s="74"/>
      <c r="J132" s="95"/>
    </row>
    <row r="133" spans="1:10" ht="13" x14ac:dyDescent="0.3">
      <c r="A133" s="91"/>
      <c r="B133" s="74"/>
      <c r="C133" s="74"/>
      <c r="D133" s="74"/>
      <c r="E133" s="74"/>
      <c r="F133" s="74"/>
      <c r="G133" s="74"/>
      <c r="H133" s="74"/>
      <c r="I133" s="74"/>
      <c r="J133" s="95"/>
    </row>
    <row r="134" spans="1:10" ht="13" x14ac:dyDescent="0.3">
      <c r="A134" s="91"/>
      <c r="B134" s="74">
        <v>1</v>
      </c>
      <c r="C134" s="74" t="str">
        <f>'Unit tariffs'!B21</f>
        <v>Installation material</v>
      </c>
      <c r="D134" s="74"/>
      <c r="E134" s="74"/>
      <c r="F134" s="74"/>
      <c r="G134" s="74"/>
      <c r="H134" s="81">
        <v>271.44100000000003</v>
      </c>
      <c r="I134" s="81">
        <f>VLOOKUP($C134,'Unit tariffs'!$B$21:$F$123,5,FALSE)*$B134</f>
        <v>282.48325</v>
      </c>
      <c r="J134" s="95"/>
    </row>
    <row r="135" spans="1:10" ht="13" x14ac:dyDescent="0.3">
      <c r="A135" s="91"/>
      <c r="B135" s="74"/>
      <c r="C135" s="74"/>
      <c r="D135" s="74"/>
      <c r="E135" s="74"/>
      <c r="F135" s="74"/>
      <c r="G135" s="76"/>
      <c r="H135" s="76">
        <v>271.44100000000003</v>
      </c>
      <c r="I135" s="76">
        <f>SUM(I134:I134)</f>
        <v>282.48325</v>
      </c>
      <c r="J135" s="95"/>
    </row>
    <row r="136" spans="1:10" ht="13" x14ac:dyDescent="0.3">
      <c r="A136" s="91"/>
      <c r="B136" s="104" t="s">
        <v>42</v>
      </c>
      <c r="C136" s="74"/>
      <c r="D136" s="74"/>
      <c r="E136" s="74"/>
      <c r="F136" s="74"/>
      <c r="G136" s="74"/>
      <c r="H136" s="74"/>
      <c r="I136" s="74"/>
      <c r="J136" s="95"/>
    </row>
    <row r="137" spans="1:10" ht="13" x14ac:dyDescent="0.3">
      <c r="A137" s="91"/>
      <c r="B137" s="74"/>
      <c r="C137" s="74"/>
      <c r="D137" s="74"/>
      <c r="E137" s="74"/>
      <c r="F137" s="74"/>
      <c r="G137" s="74"/>
      <c r="H137" s="74"/>
      <c r="I137" s="74"/>
      <c r="J137" s="95"/>
    </row>
    <row r="138" spans="1:10" ht="13" x14ac:dyDescent="0.3">
      <c r="A138" s="91"/>
      <c r="B138" s="74">
        <v>1</v>
      </c>
      <c r="C138" s="74" t="str">
        <f>'Unit tariffs'!B$87</f>
        <v xml:space="preserve">hour-artisan </v>
      </c>
      <c r="D138" s="74"/>
      <c r="E138" s="74"/>
      <c r="F138" s="74"/>
      <c r="G138" s="74"/>
      <c r="H138" s="76">
        <v>322.85223173076923</v>
      </c>
      <c r="I138" s="76">
        <f>VLOOKUP($C138,'Unit tariffs'!$B$21:$F$123,5,FALSE)*$B138</f>
        <v>351.19276615384621</v>
      </c>
      <c r="J138" s="95"/>
    </row>
    <row r="139" spans="1:10" ht="13" x14ac:dyDescent="0.3">
      <c r="A139" s="91"/>
      <c r="B139" s="74">
        <v>2</v>
      </c>
      <c r="C139" s="74" t="str">
        <f>'Unit tariffs'!B$85</f>
        <v>hour-artisan assistant</v>
      </c>
      <c r="D139" s="74"/>
      <c r="E139" s="74"/>
      <c r="F139" s="74"/>
      <c r="G139" s="74"/>
      <c r="H139" s="81">
        <v>257.07161538461543</v>
      </c>
      <c r="I139" s="81">
        <f>VLOOKUP($C139,'Unit tariffs'!$B$21:$F$123,5,FALSE)*$B139</f>
        <v>279.64851692307695</v>
      </c>
      <c r="J139" s="95"/>
    </row>
    <row r="140" spans="1:10" ht="13" x14ac:dyDescent="0.3">
      <c r="A140" s="91"/>
      <c r="B140" s="74"/>
      <c r="C140" s="74"/>
      <c r="D140" s="74"/>
      <c r="E140" s="74"/>
      <c r="F140" s="74"/>
      <c r="G140" s="74"/>
      <c r="H140" s="76">
        <v>579.92384711538466</v>
      </c>
      <c r="I140" s="76">
        <f>SUM(I138:I139)</f>
        <v>630.84128307692322</v>
      </c>
      <c r="J140" s="95"/>
    </row>
    <row r="141" spans="1:10" ht="13" x14ac:dyDescent="0.3">
      <c r="A141" s="91"/>
      <c r="B141" s="104" t="s">
        <v>43</v>
      </c>
      <c r="C141" s="74"/>
      <c r="D141" s="74"/>
      <c r="E141" s="74"/>
      <c r="F141" s="74"/>
      <c r="G141" s="74"/>
      <c r="H141" s="74"/>
      <c r="I141" s="74"/>
      <c r="J141" s="95"/>
    </row>
    <row r="142" spans="1:10" ht="13" x14ac:dyDescent="0.3">
      <c r="A142" s="91"/>
      <c r="B142" s="74"/>
      <c r="C142" s="74"/>
      <c r="D142" s="74"/>
      <c r="E142" s="74"/>
      <c r="F142" s="74"/>
      <c r="G142" s="74"/>
      <c r="H142" s="74"/>
      <c r="I142" s="74"/>
      <c r="J142" s="95"/>
    </row>
    <row r="143" spans="1:10" ht="13" x14ac:dyDescent="0.3">
      <c r="A143" s="91"/>
      <c r="B143" s="74">
        <v>14</v>
      </c>
      <c r="C143" s="74" t="str">
        <f>'Unit tariffs'!B$111</f>
        <v>km-truck with platform</v>
      </c>
      <c r="D143" s="74"/>
      <c r="E143" s="74"/>
      <c r="F143" s="74"/>
      <c r="G143" s="74"/>
      <c r="H143" s="76">
        <v>589.68704866063058</v>
      </c>
      <c r="I143" s="76">
        <f>VLOOKUP($C143,'Unit tariffs'!$B$21:$F$123,5,FALSE)*$B143</f>
        <v>689.96650439024779</v>
      </c>
      <c r="J143" s="95"/>
    </row>
    <row r="144" spans="1:10" ht="13" x14ac:dyDescent="0.3">
      <c r="A144" s="91"/>
      <c r="B144" s="74">
        <v>1</v>
      </c>
      <c r="C144" s="74" t="str">
        <f>'Unit tariffs'!B$112</f>
        <v>hour-truck with platform</v>
      </c>
      <c r="D144" s="74"/>
      <c r="E144" s="74"/>
      <c r="F144" s="74"/>
      <c r="G144" s="74"/>
      <c r="H144" s="76">
        <v>204.98441731167313</v>
      </c>
      <c r="I144" s="76">
        <f>VLOOKUP($C144,'Unit tariffs'!$B$21:$F$123,5,FALSE)*$B144</f>
        <v>239.8431204962792</v>
      </c>
      <c r="J144" s="95"/>
    </row>
    <row r="145" spans="1:10" ht="13" x14ac:dyDescent="0.3">
      <c r="A145" s="91"/>
      <c r="B145" s="74"/>
      <c r="C145" s="74"/>
      <c r="D145" s="74"/>
      <c r="E145" s="74"/>
      <c r="F145" s="74"/>
      <c r="G145" s="74"/>
      <c r="H145" s="137">
        <v>794.67146597230374</v>
      </c>
      <c r="I145" s="137">
        <f>SUM(I143:I144)</f>
        <v>929.80962488652699</v>
      </c>
      <c r="J145" s="95"/>
    </row>
    <row r="146" spans="1:10" ht="13" x14ac:dyDescent="0.3">
      <c r="A146" s="91"/>
      <c r="B146" s="104"/>
      <c r="C146" s="74"/>
      <c r="D146" s="106"/>
      <c r="E146" s="74"/>
      <c r="F146" s="74"/>
      <c r="G146" s="74"/>
      <c r="H146" s="76"/>
      <c r="I146" s="76"/>
      <c r="J146" s="95"/>
    </row>
    <row r="147" spans="1:10" ht="13" x14ac:dyDescent="0.3">
      <c r="J147" s="95"/>
    </row>
    <row r="148" spans="1:10" ht="13" x14ac:dyDescent="0.3">
      <c r="A148" s="91"/>
      <c r="B148" s="74"/>
      <c r="C148" s="74"/>
      <c r="D148" s="74"/>
      <c r="E148" s="74"/>
      <c r="F148" s="74"/>
      <c r="G148" s="76"/>
      <c r="H148" s="76">
        <v>1646.0363130876883</v>
      </c>
      <c r="I148" s="76">
        <f>I145+I140+I135</f>
        <v>1843.1341579634502</v>
      </c>
      <c r="J148" s="95"/>
    </row>
    <row r="149" spans="1:10" ht="13.5" thickBot="1" x14ac:dyDescent="0.35">
      <c r="A149" s="91"/>
      <c r="B149" s="104" t="str">
        <f>'Unit tariffs'!$B$7</f>
        <v>Administration Levy (Indirect Cost)</v>
      </c>
      <c r="C149" s="74"/>
      <c r="D149" s="106">
        <f>'Unit tariffs'!$C$7</f>
        <v>0.1</v>
      </c>
      <c r="E149" s="74" t="s">
        <v>311</v>
      </c>
      <c r="F149" s="186">
        <f>+'Unit tariffs'!$F$7</f>
        <v>10000</v>
      </c>
      <c r="G149" s="76"/>
      <c r="H149" s="108">
        <v>164.60363130876885</v>
      </c>
      <c r="I149" s="108">
        <f>IF(I148*$D149&gt;='Unit tariffs'!$E$7,'Unit tariffs'!$E$7,I148*$D149)</f>
        <v>184.31341579634503</v>
      </c>
      <c r="J149" s="95"/>
    </row>
    <row r="150" spans="1:10" ht="13.5" thickTop="1" x14ac:dyDescent="0.3">
      <c r="A150" s="91"/>
      <c r="B150" s="104" t="s">
        <v>44</v>
      </c>
      <c r="C150" s="74"/>
      <c r="D150" s="74"/>
      <c r="E150" s="74"/>
      <c r="F150" s="74"/>
      <c r="G150" s="76"/>
      <c r="H150" s="109">
        <v>1810.6399443964572</v>
      </c>
      <c r="I150" s="109">
        <f>SUM(I148:I149)</f>
        <v>2027.4475737597952</v>
      </c>
      <c r="J150" s="95"/>
    </row>
    <row r="151" spans="1:10" ht="13" x14ac:dyDescent="0.3">
      <c r="A151" s="91"/>
      <c r="B151" s="74"/>
      <c r="C151" s="74"/>
      <c r="D151" s="74"/>
      <c r="E151" s="74"/>
      <c r="F151" s="74"/>
      <c r="G151" s="74"/>
      <c r="H151" s="74"/>
      <c r="I151" s="74"/>
      <c r="J151" s="95"/>
    </row>
    <row r="152" spans="1:10" ht="13" x14ac:dyDescent="0.3">
      <c r="A152" s="91"/>
      <c r="B152" s="104" t="s">
        <v>45</v>
      </c>
      <c r="C152" s="74"/>
      <c r="D152" s="74"/>
      <c r="E152" s="74"/>
      <c r="F152" s="74"/>
      <c r="G152" s="74"/>
      <c r="H152" s="84">
        <v>1810</v>
      </c>
      <c r="I152" s="84">
        <f>ROUND(I150,-1)</f>
        <v>2030</v>
      </c>
      <c r="J152" s="95"/>
    </row>
    <row r="153" spans="1:10" ht="13" x14ac:dyDescent="0.3">
      <c r="A153" s="91"/>
      <c r="H153" s="198"/>
      <c r="I153" s="198"/>
      <c r="J153" s="95"/>
    </row>
    <row r="154" spans="1:10" ht="13" x14ac:dyDescent="0.3">
      <c r="A154" s="91"/>
      <c r="B154" s="74"/>
      <c r="C154" s="74"/>
      <c r="D154" s="74"/>
      <c r="E154" s="74"/>
      <c r="F154" s="74"/>
      <c r="G154" s="74"/>
      <c r="H154" s="112">
        <v>0</v>
      </c>
      <c r="I154" s="112">
        <f>(I152-H152)/H152</f>
        <v>0.12154696132596685</v>
      </c>
      <c r="J154" s="95"/>
    </row>
    <row r="155" spans="1:10" ht="13" x14ac:dyDescent="0.3">
      <c r="A155" s="91"/>
      <c r="B155" s="74"/>
      <c r="C155" s="74"/>
      <c r="D155" s="74"/>
      <c r="E155" s="74"/>
      <c r="F155" s="74"/>
      <c r="G155" s="74"/>
      <c r="H155" s="76"/>
      <c r="I155" s="76"/>
      <c r="J155" s="95"/>
    </row>
    <row r="156" spans="1:10" ht="13" x14ac:dyDescent="0.3">
      <c r="A156" s="91"/>
      <c r="B156" s="74"/>
      <c r="C156" s="74"/>
      <c r="D156" s="74"/>
      <c r="E156" s="74"/>
      <c r="F156" s="74"/>
      <c r="G156" s="74"/>
      <c r="H156" s="76"/>
      <c r="I156" s="76"/>
      <c r="J156" s="95"/>
    </row>
    <row r="157" spans="1:10" ht="13.5" thickBot="1" x14ac:dyDescent="0.35">
      <c r="A157" s="448"/>
      <c r="B157" s="123"/>
      <c r="C157" s="123"/>
      <c r="D157" s="123"/>
      <c r="E157" s="123"/>
      <c r="F157" s="123"/>
      <c r="G157" s="123"/>
      <c r="H157" s="108"/>
      <c r="I157" s="108"/>
      <c r="J157" s="95"/>
    </row>
    <row r="158" spans="1:10" ht="14" thickTop="1" thickBot="1" x14ac:dyDescent="0.35">
      <c r="A158" s="460"/>
      <c r="B158" s="118"/>
      <c r="C158" s="118"/>
      <c r="D158" s="118"/>
      <c r="E158" s="118"/>
      <c r="F158" s="118"/>
      <c r="G158" s="118"/>
      <c r="H158" s="461"/>
      <c r="I158" s="461"/>
    </row>
    <row r="159" spans="1:10" ht="140.25" customHeight="1" x14ac:dyDescent="0.25">
      <c r="B159" s="951" t="s">
        <v>706</v>
      </c>
      <c r="C159" s="979"/>
      <c r="D159" s="248" t="s">
        <v>251</v>
      </c>
      <c r="E159" s="537"/>
      <c r="F159" s="622" t="s">
        <v>344</v>
      </c>
      <c r="G159" s="663" t="s">
        <v>442</v>
      </c>
    </row>
    <row r="160" spans="1:10" ht="87.5" x14ac:dyDescent="0.25">
      <c r="B160" s="900" t="s">
        <v>707</v>
      </c>
      <c r="C160" s="901"/>
      <c r="D160" s="248" t="s">
        <v>251</v>
      </c>
      <c r="E160" s="537"/>
      <c r="F160" s="622" t="s">
        <v>344</v>
      </c>
      <c r="G160" s="664" t="s">
        <v>344</v>
      </c>
    </row>
    <row r="161" spans="2:7" ht="100" x14ac:dyDescent="0.25">
      <c r="B161" s="900" t="s">
        <v>708</v>
      </c>
      <c r="C161" s="901"/>
      <c r="D161" s="250" t="s">
        <v>253</v>
      </c>
      <c r="E161" s="538"/>
      <c r="F161" s="622" t="s">
        <v>343</v>
      </c>
      <c r="G161" s="664" t="s">
        <v>343</v>
      </c>
    </row>
    <row r="162" spans="2:7" ht="100" x14ac:dyDescent="0.25">
      <c r="B162" s="900" t="s">
        <v>709</v>
      </c>
      <c r="C162" s="901"/>
      <c r="D162" s="250" t="s">
        <v>254</v>
      </c>
      <c r="E162" s="538"/>
      <c r="F162" s="622" t="s">
        <v>255</v>
      </c>
      <c r="G162" s="664" t="s">
        <v>255</v>
      </c>
    </row>
    <row r="163" spans="2:7" ht="100" x14ac:dyDescent="0.25">
      <c r="B163" s="900" t="s">
        <v>710</v>
      </c>
      <c r="C163" s="901"/>
      <c r="D163" s="250" t="s">
        <v>255</v>
      </c>
      <c r="E163" s="538"/>
      <c r="F163" s="622" t="s">
        <v>342</v>
      </c>
      <c r="G163" s="663" t="s">
        <v>342</v>
      </c>
    </row>
  </sheetData>
  <mergeCells count="6">
    <mergeCell ref="B9:C9"/>
    <mergeCell ref="B161:C161"/>
    <mergeCell ref="B162:C162"/>
    <mergeCell ref="B163:C163"/>
    <mergeCell ref="B159:C159"/>
    <mergeCell ref="B160:C160"/>
  </mergeCells>
  <pageMargins left="0.7" right="0.7" top="0.75" bottom="0.75" header="0.3" footer="0.3"/>
  <pageSetup paperSize="8" scale="85" fitToHeight="0" orientation="portrait" r:id="rId1"/>
  <headerFooter>
    <oddHeader>&amp;CCENTLEC Service Tariff - Calculation Sheets 2023/2024</oddHeader>
  </headerFooter>
  <rowBreaks count="1" manualBreakCount="1">
    <brk id="31" max="8" man="1"/>
  </rowBreaks>
  <colBreaks count="1" manualBreakCount="1">
    <brk id="11" max="196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BA4D0-7443-4F82-912A-887BB59E28E6}">
  <sheetPr>
    <tabColor theme="2" tint="-0.499984740745262"/>
    <pageSetUpPr fitToPage="1"/>
  </sheetPr>
  <dimension ref="A1:Q175"/>
  <sheetViews>
    <sheetView view="pageBreakPreview" topLeftCell="B1" zoomScale="62" zoomScaleNormal="75" zoomScaleSheetLayoutView="62" zoomScalePageLayoutView="75" workbookViewId="0">
      <pane xSplit="1" ySplit="7" topLeftCell="C23" activePane="bottomRight" state="frozen"/>
      <selection activeCell="B1" sqref="B1"/>
      <selection pane="topRight" activeCell="C1" sqref="C1"/>
      <selection pane="bottomLeft" activeCell="B8" sqref="B8"/>
      <selection pane="bottomRight" activeCell="A26" sqref="A26:XFD26"/>
    </sheetView>
  </sheetViews>
  <sheetFormatPr defaultColWidth="8.90625" defaultRowHeight="14.5" x14ac:dyDescent="0.35"/>
  <cols>
    <col min="1" max="1" width="1.6328125" style="2" customWidth="1"/>
    <col min="2" max="2" width="80.36328125" style="195" customWidth="1"/>
    <col min="3" max="3" width="14.1796875" style="197" customWidth="1"/>
    <col min="4" max="4" width="21.36328125" style="199" hidden="1" customWidth="1"/>
    <col min="5" max="5" width="24.36328125" style="774" customWidth="1"/>
    <col min="6" max="6" width="26.6328125" style="200" customWidth="1"/>
    <col min="7" max="7" width="13" style="196" customWidth="1"/>
    <col min="8" max="8" width="11.90625" style="2" customWidth="1"/>
    <col min="9" max="9" width="15.54296875" style="584" bestFit="1" customWidth="1"/>
    <col min="10" max="10" width="20.54296875" style="2" customWidth="1"/>
    <col min="11" max="11" width="14.54296875" style="393" customWidth="1"/>
    <col min="12" max="14" width="15.453125" style="393" customWidth="1"/>
    <col min="15" max="15" width="12.08984375" hidden="1" customWidth="1"/>
    <col min="16" max="16" width="9.1796875" style="2" hidden="1" customWidth="1"/>
    <col min="17" max="17" width="11.81640625" style="2" hidden="1" customWidth="1"/>
    <col min="18" max="16384" width="8.90625" style="2"/>
  </cols>
  <sheetData>
    <row r="1" spans="1:17" ht="15.5" x14ac:dyDescent="0.35">
      <c r="A1" s="261"/>
      <c r="B1" s="262" t="s">
        <v>450</v>
      </c>
      <c r="C1" s="263"/>
      <c r="D1" s="515"/>
      <c r="E1" s="601"/>
      <c r="F1" s="267"/>
      <c r="G1" s="265"/>
      <c r="H1" s="266"/>
      <c r="I1" s="559"/>
      <c r="J1" s="268"/>
      <c r="K1" s="406"/>
      <c r="L1" s="407"/>
      <c r="M1" s="407"/>
      <c r="N1" s="407"/>
    </row>
    <row r="2" spans="1:17" ht="14.4" customHeight="1" x14ac:dyDescent="0.35">
      <c r="A2" s="269"/>
      <c r="B2" s="221" t="s">
        <v>1</v>
      </c>
      <c r="C2" s="222"/>
      <c r="D2" s="516" t="s">
        <v>317</v>
      </c>
      <c r="E2" s="602" t="s">
        <v>317</v>
      </c>
      <c r="F2" s="224" t="s">
        <v>74</v>
      </c>
      <c r="G2" s="327" t="s">
        <v>85</v>
      </c>
      <c r="H2" s="52" t="s">
        <v>441</v>
      </c>
      <c r="I2" s="224" t="s">
        <v>138</v>
      </c>
      <c r="J2" s="325" t="s">
        <v>75</v>
      </c>
      <c r="K2" s="666" t="s">
        <v>138</v>
      </c>
      <c r="L2" s="667" t="s">
        <v>138</v>
      </c>
      <c r="M2" s="667" t="s">
        <v>138</v>
      </c>
      <c r="N2" s="775" t="s">
        <v>138</v>
      </c>
      <c r="O2" s="897" t="s">
        <v>622</v>
      </c>
      <c r="P2" s="897"/>
      <c r="Q2" s="897"/>
    </row>
    <row r="3" spans="1:17" x14ac:dyDescent="0.35">
      <c r="A3" s="269"/>
      <c r="B3" s="307" t="s">
        <v>330</v>
      </c>
      <c r="C3" s="226"/>
      <c r="D3" s="516" t="s">
        <v>318</v>
      </c>
      <c r="E3" s="602" t="s">
        <v>318</v>
      </c>
      <c r="F3" s="224" t="s">
        <v>318</v>
      </c>
      <c r="G3" s="327" t="s">
        <v>86</v>
      </c>
      <c r="H3" s="643">
        <f>+'Unit tariffs'!F$3</f>
        <v>0.15</v>
      </c>
      <c r="I3" s="224" t="s">
        <v>139</v>
      </c>
      <c r="J3" s="325" t="s">
        <v>78</v>
      </c>
      <c r="K3" s="666" t="s">
        <v>139</v>
      </c>
      <c r="L3" s="667" t="s">
        <v>139</v>
      </c>
      <c r="M3" s="667" t="s">
        <v>139</v>
      </c>
      <c r="N3" s="775" t="s">
        <v>139</v>
      </c>
      <c r="O3" s="897"/>
      <c r="P3" s="897"/>
      <c r="Q3" s="897"/>
    </row>
    <row r="4" spans="1:17" x14ac:dyDescent="0.35">
      <c r="A4" s="269"/>
      <c r="B4" s="221" t="s">
        <v>1</v>
      </c>
      <c r="C4" s="226" t="s">
        <v>328</v>
      </c>
      <c r="D4" s="516" t="str">
        <f>'Calc Sheet 23_24'!H11</f>
        <v>2025/2026</v>
      </c>
      <c r="E4" s="665" t="str">
        <f>'Calc Sheet 23_24'!$H$11</f>
        <v>2025/2026</v>
      </c>
      <c r="F4" s="224" t="str">
        <f>'Calc Sheet 23_24'!$I$11</f>
        <v>2026/2027</v>
      </c>
      <c r="G4" s="327" t="str">
        <f>F4</f>
        <v>2026/2027</v>
      </c>
      <c r="H4" s="52" t="str">
        <f>F4</f>
        <v>2026/2027</v>
      </c>
      <c r="I4" s="224" t="str">
        <f>H4</f>
        <v>2026/2027</v>
      </c>
      <c r="J4" s="325" t="s">
        <v>79</v>
      </c>
      <c r="K4" s="666" t="s">
        <v>580</v>
      </c>
      <c r="L4" s="667" t="s">
        <v>620</v>
      </c>
      <c r="M4" s="667" t="s">
        <v>734</v>
      </c>
      <c r="N4" s="775" t="s">
        <v>735</v>
      </c>
      <c r="O4" s="897"/>
      <c r="P4" s="897"/>
      <c r="Q4" s="897"/>
    </row>
    <row r="5" spans="1:17" ht="15" thickBot="1" x14ac:dyDescent="0.4">
      <c r="A5" s="293"/>
      <c r="B5" s="309" t="s">
        <v>1</v>
      </c>
      <c r="C5" s="295" t="s">
        <v>329</v>
      </c>
      <c r="D5" s="517" t="s">
        <v>80</v>
      </c>
      <c r="E5" s="603" t="s">
        <v>711</v>
      </c>
      <c r="F5" s="334" t="s">
        <v>80</v>
      </c>
      <c r="G5" s="332"/>
      <c r="H5" s="333"/>
      <c r="I5" s="334"/>
      <c r="J5" s="335"/>
      <c r="K5" s="410"/>
      <c r="L5" s="411"/>
      <c r="M5" s="411"/>
      <c r="N5" s="776"/>
      <c r="O5" s="897"/>
      <c r="P5" s="897"/>
      <c r="Q5" s="897"/>
    </row>
    <row r="6" spans="1:17" ht="15" thickTop="1" x14ac:dyDescent="0.35">
      <c r="A6" s="286"/>
      <c r="B6" s="315"/>
      <c r="C6" s="329"/>
      <c r="D6" s="518"/>
      <c r="E6" s="604"/>
      <c r="F6" s="292"/>
      <c r="G6" s="290"/>
      <c r="H6" s="291"/>
      <c r="I6" s="560"/>
      <c r="J6" s="310"/>
      <c r="K6" s="412"/>
      <c r="L6" s="413"/>
      <c r="M6" s="413"/>
      <c r="N6" s="777"/>
      <c r="O6" s="779" t="s">
        <v>630</v>
      </c>
      <c r="P6" s="779" t="s">
        <v>631</v>
      </c>
      <c r="Q6" s="779" t="s">
        <v>632</v>
      </c>
    </row>
    <row r="7" spans="1:17" ht="24" customHeight="1" x14ac:dyDescent="0.35">
      <c r="A7" s="269"/>
      <c r="B7" s="226" t="s">
        <v>104</v>
      </c>
      <c r="C7" s="226"/>
      <c r="D7" s="519"/>
      <c r="E7" s="605"/>
      <c r="F7" s="220"/>
      <c r="G7" s="219"/>
      <c r="H7" s="216"/>
      <c r="I7" s="561"/>
      <c r="J7" s="270"/>
      <c r="K7" s="414"/>
      <c r="L7" s="415"/>
      <c r="M7" s="415"/>
      <c r="N7" s="780"/>
      <c r="O7" s="44"/>
      <c r="P7" s="216"/>
      <c r="Q7" s="216"/>
    </row>
    <row r="8" spans="1:17" x14ac:dyDescent="0.35">
      <c r="A8" s="269"/>
      <c r="B8" s="227" t="str">
        <f>'New Conn'!B5</f>
        <v xml:space="preserve">1. NEW CONNECTIONS: </v>
      </c>
      <c r="C8" s="226"/>
      <c r="D8" s="520"/>
      <c r="E8" s="605"/>
      <c r="F8" s="220"/>
      <c r="G8" s="219"/>
      <c r="H8" s="216"/>
      <c r="I8" s="561"/>
      <c r="J8" s="270"/>
      <c r="K8" s="414"/>
      <c r="L8" s="415"/>
      <c r="M8" s="415"/>
      <c r="N8" s="780"/>
      <c r="O8" s="44"/>
      <c r="P8" s="216"/>
      <c r="Q8" s="216"/>
    </row>
    <row r="9" spans="1:17" x14ac:dyDescent="0.35">
      <c r="A9" s="269"/>
      <c r="B9" s="227"/>
      <c r="C9" s="226"/>
      <c r="D9" s="520"/>
      <c r="E9" s="605"/>
      <c r="F9" s="220"/>
      <c r="G9" s="219"/>
      <c r="H9" s="216"/>
      <c r="I9" s="561"/>
      <c r="J9" s="270"/>
      <c r="K9" s="414"/>
      <c r="L9" s="415"/>
      <c r="M9" s="415"/>
      <c r="N9" s="780"/>
      <c r="O9" s="44"/>
      <c r="P9" s="216"/>
      <c r="Q9" s="216"/>
    </row>
    <row r="10" spans="1:17" ht="26" x14ac:dyDescent="0.35">
      <c r="A10" s="269"/>
      <c r="B10" s="221" t="str">
        <f>'New Conn'!B7</f>
        <v xml:space="preserve">1.1  Single phase overhead connection with Split Pre-payment meter taken from overhead network   - No Ready board   </v>
      </c>
      <c r="C10" s="222" t="s">
        <v>240</v>
      </c>
      <c r="D10" s="521">
        <f>'New Conn'!H39</f>
        <v>7370</v>
      </c>
      <c r="E10" s="606">
        <f>D10*1.15</f>
        <v>8475.5</v>
      </c>
      <c r="F10" s="379">
        <f>'New Conn'!I39</f>
        <v>7330</v>
      </c>
      <c r="G10" s="228">
        <f>(F10-E10)/E10</f>
        <v>-0.13515426818476786</v>
      </c>
      <c r="H10" s="229">
        <f>F10*H$3</f>
        <v>1099.5</v>
      </c>
      <c r="I10" s="562">
        <f>F10+H10</f>
        <v>8429.5</v>
      </c>
      <c r="J10" s="271">
        <v>9100033030416</v>
      </c>
      <c r="K10" s="416">
        <f>+$I10*(1+'Unit tariffs'!$F$2)</f>
        <v>8909.9814999999999</v>
      </c>
      <c r="L10" s="417">
        <f>+$K10*(1+'Unit tariffs'!$F$2)</f>
        <v>9417.8504455000002</v>
      </c>
      <c r="M10" s="417">
        <f>+$L10*(1+'Unit tariffs'!$F$2)</f>
        <v>9954.6679208935002</v>
      </c>
      <c r="N10" s="781">
        <f>+$M10*(1+'Unit tariffs'!$F$2)</f>
        <v>10522.083992384429</v>
      </c>
      <c r="O10" s="779" t="s">
        <v>633</v>
      </c>
      <c r="P10" s="779" t="s">
        <v>633</v>
      </c>
      <c r="Q10" s="779" t="s">
        <v>633</v>
      </c>
    </row>
    <row r="11" spans="1:17" x14ac:dyDescent="0.35">
      <c r="A11" s="269"/>
      <c r="B11" s="221"/>
      <c r="C11" s="222"/>
      <c r="D11" s="521"/>
      <c r="E11" s="606"/>
      <c r="F11" s="379"/>
      <c r="G11" s="228"/>
      <c r="H11" s="228"/>
      <c r="I11" s="563"/>
      <c r="J11" s="272"/>
      <c r="K11" s="418"/>
      <c r="L11" s="419"/>
      <c r="M11" s="419"/>
      <c r="N11" s="782"/>
      <c r="O11" s="778"/>
      <c r="P11" s="778"/>
      <c r="Q11" s="778"/>
    </row>
    <row r="12" spans="1:17" ht="26" x14ac:dyDescent="0.35">
      <c r="A12" s="269"/>
      <c r="B12" s="221" t="str">
        <f>'New Conn'!B45</f>
        <v xml:space="preserve">1.2  Single phase overhead connection with Split Pre-payment meter taken from overhead network   - With Ready board   </v>
      </c>
      <c r="C12" s="222" t="s">
        <v>240</v>
      </c>
      <c r="D12" s="521">
        <f>'New Conn'!H79</f>
        <v>8770</v>
      </c>
      <c r="E12" s="606">
        <f t="shared" ref="E12:E75" si="0">D12*1.15</f>
        <v>10085.5</v>
      </c>
      <c r="F12" s="379">
        <f>'New Conn'!I79</f>
        <v>8710</v>
      </c>
      <c r="G12" s="228">
        <f>(F12-E12)/E12</f>
        <v>-0.13638391750532944</v>
      </c>
      <c r="H12" s="229">
        <f>F12*H$3</f>
        <v>1306.5</v>
      </c>
      <c r="I12" s="562">
        <f>F12+H12</f>
        <v>10016.5</v>
      </c>
      <c r="J12" s="271">
        <v>9100033030416</v>
      </c>
      <c r="K12" s="416">
        <f>+$I12*(1+'Unit tariffs'!$F$2)</f>
        <v>10587.440499999999</v>
      </c>
      <c r="L12" s="417">
        <f>+$K12*(1+'Unit tariffs'!$F$2)</f>
        <v>11190.924608499998</v>
      </c>
      <c r="M12" s="417">
        <f>+$L12*(1+'Unit tariffs'!$F$2)</f>
        <v>11828.807311184497</v>
      </c>
      <c r="N12" s="781">
        <f>+$M12*(1+'Unit tariffs'!$F$2)</f>
        <v>12503.049327922012</v>
      </c>
      <c r="O12" s="779" t="s">
        <v>633</v>
      </c>
      <c r="P12" s="779" t="s">
        <v>633</v>
      </c>
      <c r="Q12" s="779" t="s">
        <v>633</v>
      </c>
    </row>
    <row r="13" spans="1:17" x14ac:dyDescent="0.35">
      <c r="A13" s="269"/>
      <c r="B13" s="231"/>
      <c r="C13" s="232"/>
      <c r="D13" s="521"/>
      <c r="E13" s="606"/>
      <c r="F13" s="379"/>
      <c r="G13" s="228"/>
      <c r="H13" s="228"/>
      <c r="I13" s="563"/>
      <c r="J13" s="272"/>
      <c r="K13" s="418"/>
      <c r="L13" s="419"/>
      <c r="M13" s="419"/>
      <c r="N13" s="782"/>
      <c r="O13" s="778"/>
      <c r="P13" s="778"/>
      <c r="Q13" s="778"/>
    </row>
    <row r="14" spans="1:17" ht="26.5" customHeight="1" x14ac:dyDescent="0.35">
      <c r="A14" s="269"/>
      <c r="B14" s="221" t="str">
        <f>'New Conn'!B85</f>
        <v xml:space="preserve">1.3  Single phase underground/ovehead connection with Split Pre-payment meter taken from underground/overhead network (Flisp Housing)  - With Ready board   </v>
      </c>
      <c r="C14" s="677" t="s">
        <v>295</v>
      </c>
      <c r="D14" s="521">
        <f>'New Conn'!H116</f>
        <v>13760</v>
      </c>
      <c r="E14" s="606">
        <f t="shared" si="0"/>
        <v>15823.999999999998</v>
      </c>
      <c r="F14" s="379">
        <f>'New Conn'!I116</f>
        <v>13670</v>
      </c>
      <c r="G14" s="228">
        <f>(F14-E14)/E14</f>
        <v>-0.13612234580384217</v>
      </c>
      <c r="H14" s="229">
        <f>F14*H$3</f>
        <v>2050.5</v>
      </c>
      <c r="I14" s="562">
        <f>F14+H14</f>
        <v>15720.5</v>
      </c>
      <c r="J14" s="271">
        <v>9100033030416</v>
      </c>
      <c r="K14" s="416">
        <f>+$I14*(1+'Unit tariffs'!$F$2)</f>
        <v>16616.568499999998</v>
      </c>
      <c r="L14" s="417">
        <f>+$K14*(1+'Unit tariffs'!$F$2)</f>
        <v>17563.712904499997</v>
      </c>
      <c r="M14" s="417">
        <f>+$L14*(1+'Unit tariffs'!$F$2)</f>
        <v>18564.844540056496</v>
      </c>
      <c r="N14" s="781">
        <f>+$M14*(1+'Unit tariffs'!$F$2)</f>
        <v>19623.040678839716</v>
      </c>
      <c r="O14" s="779" t="s">
        <v>633</v>
      </c>
      <c r="P14" s="779" t="s">
        <v>633</v>
      </c>
      <c r="Q14" s="779" t="s">
        <v>633</v>
      </c>
    </row>
    <row r="15" spans="1:17" x14ac:dyDescent="0.35">
      <c r="A15" s="269"/>
      <c r="B15" s="231"/>
      <c r="C15" s="232"/>
      <c r="D15" s="521"/>
      <c r="E15" s="606"/>
      <c r="F15" s="379"/>
      <c r="G15" s="228"/>
      <c r="H15" s="228"/>
      <c r="I15" s="563"/>
      <c r="J15" s="272"/>
      <c r="K15" s="418"/>
      <c r="L15" s="419"/>
      <c r="M15" s="419"/>
      <c r="N15" s="782"/>
      <c r="O15" s="778"/>
      <c r="P15" s="778"/>
      <c r="Q15" s="778"/>
    </row>
    <row r="16" spans="1:17" ht="28.25" customHeight="1" x14ac:dyDescent="0.35">
      <c r="A16" s="269"/>
      <c r="B16" s="221" t="str">
        <f>'New Conn'!B120</f>
        <v>1.4  New connection (Permanent) for Church/ Creche with NPO certificate &amp; Proof of Title deeds paper registered with Church/Creche:  Single phase Split Prepaid  meter</v>
      </c>
      <c r="C16" s="222" t="s">
        <v>240</v>
      </c>
      <c r="D16" s="521">
        <f>'New Conn'!H150</f>
        <v>15240</v>
      </c>
      <c r="E16" s="606">
        <f t="shared" si="0"/>
        <v>17526</v>
      </c>
      <c r="F16" s="379">
        <f>'New Conn'!I150</f>
        <v>15140</v>
      </c>
      <c r="G16" s="228">
        <f>(F16-E16)/E16</f>
        <v>-0.13614059112176197</v>
      </c>
      <c r="H16" s="229">
        <f>F16*H$3</f>
        <v>2271</v>
      </c>
      <c r="I16" s="562">
        <f>F16+H16</f>
        <v>17411</v>
      </c>
      <c r="J16" s="271">
        <v>9100033030416</v>
      </c>
      <c r="K16" s="416">
        <f>+$I16*(1+'Unit tariffs'!$F$2)</f>
        <v>18403.427</v>
      </c>
      <c r="L16" s="417">
        <f>+$K16*(1+'Unit tariffs'!$F$2)</f>
        <v>19452.422338999997</v>
      </c>
      <c r="M16" s="417">
        <f>+$L16*(1+'Unit tariffs'!$F$2)</f>
        <v>20561.210412322995</v>
      </c>
      <c r="N16" s="781">
        <f>+$M16*(1+'Unit tariffs'!$F$2)</f>
        <v>21733.199405825406</v>
      </c>
      <c r="O16" s="779" t="s">
        <v>633</v>
      </c>
      <c r="P16" s="779" t="s">
        <v>633</v>
      </c>
      <c r="Q16" s="779" t="s">
        <v>633</v>
      </c>
    </row>
    <row r="17" spans="1:17" ht="19.5" customHeight="1" x14ac:dyDescent="0.35">
      <c r="A17" s="269"/>
      <c r="B17" s="221"/>
      <c r="C17" s="222"/>
      <c r="D17" s="521"/>
      <c r="E17" s="606"/>
      <c r="F17" s="379"/>
      <c r="G17" s="228"/>
      <c r="H17" s="229"/>
      <c r="I17" s="562"/>
      <c r="J17" s="271"/>
      <c r="K17" s="416"/>
      <c r="L17" s="417"/>
      <c r="M17" s="417"/>
      <c r="N17" s="781"/>
      <c r="O17" s="778"/>
      <c r="P17" s="778"/>
      <c r="Q17" s="778"/>
    </row>
    <row r="18" spans="1:17" ht="26" x14ac:dyDescent="0.35">
      <c r="A18" s="269"/>
      <c r="B18" s="233" t="str">
        <f>'New Conn'!B155</f>
        <v>1.5  Single phase domestic connection in meter box placed on stand boundary taken from underground cable network (Connection to an erf, where the development costs has been paid) -</v>
      </c>
      <c r="C18" s="222" t="s">
        <v>240</v>
      </c>
      <c r="D18" s="520"/>
      <c r="E18" s="606"/>
      <c r="F18" s="379"/>
      <c r="G18" s="228"/>
      <c r="H18" s="229"/>
      <c r="I18" s="562"/>
      <c r="J18" s="271"/>
      <c r="K18" s="416"/>
      <c r="L18" s="417"/>
      <c r="M18" s="417"/>
      <c r="N18" s="781"/>
      <c r="O18" s="778"/>
      <c r="P18" s="778"/>
      <c r="Q18" s="778"/>
    </row>
    <row r="19" spans="1:17" ht="32.4" customHeight="1" x14ac:dyDescent="0.35">
      <c r="A19" s="269"/>
      <c r="B19" s="233" t="str">
        <f>+'Calc Sheet 23_24'!B157:G157</f>
        <v xml:space="preserve">    1.5.1 Connection in meter box, Single Phase Time of Use kWh meter</v>
      </c>
      <c r="C19" s="222" t="s">
        <v>240</v>
      </c>
      <c r="D19" s="521">
        <f>'New Conn'!H185</f>
        <v>8560</v>
      </c>
      <c r="E19" s="606">
        <f t="shared" si="0"/>
        <v>9844</v>
      </c>
      <c r="F19" s="379">
        <f>'New Conn'!I185</f>
        <v>8510</v>
      </c>
      <c r="G19" s="228">
        <f>(F19-E19)/E19</f>
        <v>-0.13551401869158877</v>
      </c>
      <c r="H19" s="229">
        <f>F19*H$3</f>
        <v>1276.5</v>
      </c>
      <c r="I19" s="562">
        <f>F19+H19</f>
        <v>9786.5</v>
      </c>
      <c r="J19" s="271">
        <v>9100033030416</v>
      </c>
      <c r="K19" s="416">
        <f>+$I19*(1+'Unit tariffs'!$F$2)</f>
        <v>10344.3305</v>
      </c>
      <c r="L19" s="417">
        <f>+$K19*(1+'Unit tariffs'!$F$2)</f>
        <v>10933.957338499999</v>
      </c>
      <c r="M19" s="417">
        <f>+$L19*(1+'Unit tariffs'!$F$2)</f>
        <v>11557.192906794498</v>
      </c>
      <c r="N19" s="781">
        <f>+$M19*(1+'Unit tariffs'!$F$2)</f>
        <v>12215.952902481784</v>
      </c>
      <c r="O19" s="779" t="s">
        <v>633</v>
      </c>
      <c r="P19" s="779" t="s">
        <v>633</v>
      </c>
      <c r="Q19" s="779" t="s">
        <v>633</v>
      </c>
    </row>
    <row r="20" spans="1:17" ht="32.4" customHeight="1" x14ac:dyDescent="0.35">
      <c r="A20" s="269"/>
      <c r="B20" s="233" t="str">
        <f>'New Conn'!B190</f>
        <v xml:space="preserve">    1.5.2 Connection in meter box, Single phase Split pre-payment meter</v>
      </c>
      <c r="C20" s="222" t="s">
        <v>240</v>
      </c>
      <c r="D20" s="521">
        <f>'New Conn'!H215</f>
        <v>4950</v>
      </c>
      <c r="E20" s="606">
        <f t="shared" si="0"/>
        <v>5692.5</v>
      </c>
      <c r="F20" s="379">
        <f>'New Conn'!I215</f>
        <v>4930</v>
      </c>
      <c r="G20" s="228">
        <f>(F20-E20)/E20</f>
        <v>-0.1339481774264383</v>
      </c>
      <c r="H20" s="229">
        <f>F20*H$3</f>
        <v>739.5</v>
      </c>
      <c r="I20" s="562">
        <f>F20+H20</f>
        <v>5669.5</v>
      </c>
      <c r="J20" s="271">
        <v>9100033030416</v>
      </c>
      <c r="K20" s="416">
        <f>+$I20*(1+'Unit tariffs'!$F$2)</f>
        <v>5992.6614999999993</v>
      </c>
      <c r="L20" s="417">
        <f>+$K20*(1+'Unit tariffs'!$F$2)</f>
        <v>6334.243205499999</v>
      </c>
      <c r="M20" s="417">
        <f>+$L20*(1+'Unit tariffs'!$F$2)</f>
        <v>6695.2950682134988</v>
      </c>
      <c r="N20" s="781">
        <f>+$M20*(1+'Unit tariffs'!$F$2)</f>
        <v>7076.9268871016675</v>
      </c>
      <c r="O20" s="779" t="s">
        <v>633</v>
      </c>
      <c r="P20" s="779" t="s">
        <v>633</v>
      </c>
      <c r="Q20" s="779" t="s">
        <v>633</v>
      </c>
    </row>
    <row r="21" spans="1:17" ht="31.5" customHeight="1" x14ac:dyDescent="0.35">
      <c r="A21" s="269"/>
      <c r="B21" s="221" t="str">
        <f>'New Conn'!B221</f>
        <v>1.6 Single phase Pre-payment meters for areas that are fully subsidised. (Grants from different departments, e.g USDG, etc)</v>
      </c>
      <c r="C21" s="514" t="s">
        <v>240</v>
      </c>
      <c r="D21" s="521">
        <f>'New Conn'!H247</f>
        <v>1010</v>
      </c>
      <c r="E21" s="606">
        <f t="shared" si="0"/>
        <v>1161.5</v>
      </c>
      <c r="F21" s="379">
        <f>'New Conn'!I247</f>
        <v>1000</v>
      </c>
      <c r="G21" s="228">
        <f>(F21-E21)/E21</f>
        <v>-0.13904433921653034</v>
      </c>
      <c r="H21" s="229">
        <f>F21*H$3</f>
        <v>150</v>
      </c>
      <c r="I21" s="562">
        <f>F21+H21</f>
        <v>1150</v>
      </c>
      <c r="J21" s="271">
        <v>9100033030416</v>
      </c>
      <c r="K21" s="416">
        <f>+$I21*(1+'Unit tariffs'!$F$2)</f>
        <v>1215.55</v>
      </c>
      <c r="L21" s="417">
        <f>+$K21*(1+'Unit tariffs'!$F$2)</f>
        <v>1284.8363499999998</v>
      </c>
      <c r="M21" s="417">
        <f>+$L21*(1+'Unit tariffs'!$F$2)</f>
        <v>1358.0720219499997</v>
      </c>
      <c r="N21" s="781">
        <f>+$M21*(1+'Unit tariffs'!$F$2)</f>
        <v>1435.4821272011495</v>
      </c>
      <c r="O21" s="779" t="s">
        <v>633</v>
      </c>
      <c r="P21" s="779" t="s">
        <v>633</v>
      </c>
      <c r="Q21" s="779" t="s">
        <v>633</v>
      </c>
    </row>
    <row r="22" spans="1:17" x14ac:dyDescent="0.35">
      <c r="A22" s="269"/>
      <c r="B22" s="234"/>
      <c r="C22" s="222"/>
      <c r="D22" s="522"/>
      <c r="E22" s="606"/>
      <c r="F22" s="379"/>
      <c r="G22" s="228"/>
      <c r="H22" s="229"/>
      <c r="I22" s="562"/>
      <c r="J22" s="271"/>
      <c r="K22" s="416"/>
      <c r="L22" s="417"/>
      <c r="M22" s="417"/>
      <c r="N22" s="781"/>
      <c r="O22" s="778"/>
      <c r="P22" s="778"/>
      <c r="Q22" s="778"/>
    </row>
    <row r="23" spans="1:17" ht="20.25" customHeight="1" x14ac:dyDescent="0.35">
      <c r="A23" s="269"/>
      <c r="B23" s="227" t="str">
        <f>'New Conn'!B254</f>
        <v xml:space="preserve">1.7  Subdivision  (Domestic): </v>
      </c>
      <c r="C23" s="222"/>
      <c r="D23" s="521"/>
      <c r="E23" s="606"/>
      <c r="F23" s="379"/>
      <c r="G23" s="228"/>
      <c r="H23" s="229"/>
      <c r="I23" s="562"/>
      <c r="J23" s="271"/>
      <c r="K23" s="416"/>
      <c r="L23" s="417"/>
      <c r="M23" s="417"/>
      <c r="N23" s="781"/>
      <c r="O23" s="778"/>
      <c r="P23" s="778"/>
      <c r="Q23" s="778"/>
    </row>
    <row r="24" spans="1:17" ht="30.75" customHeight="1" x14ac:dyDescent="0.35">
      <c r="A24" s="269"/>
      <c r="B24" s="221" t="str">
        <f>'New Conn'!B256</f>
        <v xml:space="preserve">    1.7.1 Subdivision Urban Area:  A new Single Phase Split pre-payment meter for domestic connection </v>
      </c>
      <c r="C24" s="222" t="s">
        <v>240</v>
      </c>
      <c r="D24" s="521">
        <f>'New Conn'!H287</f>
        <v>28540</v>
      </c>
      <c r="E24" s="606">
        <f t="shared" si="0"/>
        <v>32821</v>
      </c>
      <c r="F24" s="379">
        <f>'New Conn'!I287</f>
        <v>28360</v>
      </c>
      <c r="G24" s="228">
        <f>(F24-E24)/E24</f>
        <v>-0.13591907620121263</v>
      </c>
      <c r="H24" s="229">
        <f>F24*H$3</f>
        <v>4254</v>
      </c>
      <c r="I24" s="562">
        <f>F24+H24</f>
        <v>32614</v>
      </c>
      <c r="J24" s="271">
        <v>9100033030416</v>
      </c>
      <c r="K24" s="416">
        <f>+$I24*(1+'Unit tariffs'!$F$2)</f>
        <v>34472.998</v>
      </c>
      <c r="L24" s="417">
        <f>+$K24*(1+'Unit tariffs'!$F$2)</f>
        <v>36437.958886</v>
      </c>
      <c r="M24" s="417">
        <f>+$L24*(1+'Unit tariffs'!$F$2)</f>
        <v>38514.922542501998</v>
      </c>
      <c r="N24" s="781">
        <f>+$M24*(1+'Unit tariffs'!$F$2)</f>
        <v>40710.273127424611</v>
      </c>
      <c r="O24" s="779" t="s">
        <v>633</v>
      </c>
      <c r="P24" s="779" t="s">
        <v>633</v>
      </c>
      <c r="Q24" s="779" t="s">
        <v>633</v>
      </c>
    </row>
    <row r="25" spans="1:17" ht="25.75" customHeight="1" x14ac:dyDescent="0.35">
      <c r="A25" s="269"/>
      <c r="B25" s="221" t="str">
        <f>'New Conn'!B292</f>
        <v xml:space="preserve">    1.7.2  Subdivision Pri Urban Area:  New Single Phase Split pre-payment meter connection in existing 11kV overhead line or  where 11kV overhead line needs to be    exteded up to 350m.</v>
      </c>
      <c r="C25" s="688" t="str">
        <f>'New Conn'!H292</f>
        <v xml:space="preserve">  [Mangaung - peri urban]</v>
      </c>
      <c r="D25" s="523">
        <f>'New Conn'!H323</f>
        <v>30890</v>
      </c>
      <c r="E25" s="606">
        <f t="shared" si="0"/>
        <v>35523.5</v>
      </c>
      <c r="F25" s="380">
        <f>'New Conn'!I323</f>
        <v>30690</v>
      </c>
      <c r="G25" s="228">
        <f t="shared" ref="G25:G87" si="1">(F25-E25)/E25</f>
        <v>-0.13606485847396793</v>
      </c>
      <c r="H25" s="229">
        <f t="shared" ref="H25:H87" si="2">F25*H$3</f>
        <v>4603.5</v>
      </c>
      <c r="I25" s="562">
        <f t="shared" ref="I25:I87" si="3">F25+H25</f>
        <v>35293.5</v>
      </c>
      <c r="J25" s="271">
        <v>9100033030417</v>
      </c>
      <c r="K25" s="416">
        <f>+$I25*(1+'Unit tariffs'!$F$2)</f>
        <v>37305.229500000001</v>
      </c>
      <c r="L25" s="417">
        <f>+$K25*(1+'Unit tariffs'!$F$2)</f>
        <v>39431.627581499997</v>
      </c>
      <c r="M25" s="417">
        <f>+$L25*(1+'Unit tariffs'!$F$2)</f>
        <v>41679.230353645493</v>
      </c>
      <c r="N25" s="781">
        <f>+$M25*(1+'Unit tariffs'!$F$2)</f>
        <v>44054.94648380328</v>
      </c>
      <c r="O25" s="778"/>
      <c r="P25" s="778"/>
      <c r="Q25" s="778"/>
    </row>
    <row r="26" spans="1:17" ht="36.25" customHeight="1" x14ac:dyDescent="0.35">
      <c r="A26" s="269"/>
      <c r="B26" s="221" t="str">
        <f>'New Conn'!B328</f>
        <v>1.7.3  Subdivision Pri Urban Area:  New Single Phase Split pre-payment meter connection in existing 11kV overhead line or  where 11kV overhead line needs to be exteded up to 350m.</v>
      </c>
      <c r="C26" s="222" t="str">
        <f>'New Conn'!H328</f>
        <v xml:space="preserve">  [Regional - peri urban]</v>
      </c>
      <c r="D26" s="523">
        <f>'New Conn'!H358</f>
        <v>22770</v>
      </c>
      <c r="E26" s="606">
        <f t="shared" si="0"/>
        <v>26185.499999999996</v>
      </c>
      <c r="F26" s="380">
        <f>'New Conn'!I358</f>
        <v>22620</v>
      </c>
      <c r="G26" s="228">
        <f t="shared" si="1"/>
        <v>-0.13616314372458027</v>
      </c>
      <c r="H26" s="229">
        <f t="shared" si="2"/>
        <v>3393</v>
      </c>
      <c r="I26" s="562">
        <f t="shared" si="3"/>
        <v>26013</v>
      </c>
      <c r="J26" s="271">
        <v>9100033030418</v>
      </c>
      <c r="K26" s="416">
        <f>+$I26*(1+'Unit tariffs'!$F$2)</f>
        <v>27495.740999999998</v>
      </c>
      <c r="L26" s="417">
        <f>+$K26*(1+'Unit tariffs'!$F$2)</f>
        <v>29062.998236999996</v>
      </c>
      <c r="M26" s="417">
        <f>+$L26*(1+'Unit tariffs'!$F$2)</f>
        <v>30719.589136508996</v>
      </c>
      <c r="N26" s="781">
        <f>+$M26*(1+'Unit tariffs'!$F$2)</f>
        <v>32470.605717290007</v>
      </c>
      <c r="O26" s="778"/>
      <c r="P26" s="778"/>
      <c r="Q26" s="778"/>
    </row>
    <row r="27" spans="1:17" ht="29.5" customHeight="1" x14ac:dyDescent="0.35">
      <c r="A27" s="269"/>
      <c r="B27" s="221" t="str">
        <f>'New Conn'!B364</f>
        <v xml:space="preserve"> 1.7.4 Subdivision Peri Urban Area:  New Three Split pre-payment meter connection on the stand boundary, where 11kV overhead line needs to be exteded up to 350m at ADMD = 7,5KVA</v>
      </c>
      <c r="C27" s="222"/>
      <c r="D27" s="523" t="str">
        <f>'New Conn'!H366</f>
        <v>Actual estimated cost plus network contribution for 7.5kVA</v>
      </c>
      <c r="E27" s="606" t="str">
        <f>'New Conn'!I366</f>
        <v>Actual estimated cost plus network contribution for 7.5kVA</v>
      </c>
      <c r="F27" s="380" t="str">
        <f>'New Conn'!I366</f>
        <v>Actual estimated cost plus network contribution for 7.5kVA</v>
      </c>
      <c r="G27" s="228"/>
      <c r="H27" s="229"/>
      <c r="I27" s="562"/>
      <c r="J27" s="271"/>
      <c r="K27" s="416"/>
      <c r="L27" s="417"/>
      <c r="M27" s="417"/>
      <c r="N27" s="781"/>
      <c r="O27" s="778"/>
      <c r="P27" s="778"/>
      <c r="Q27" s="778"/>
    </row>
    <row r="28" spans="1:17" x14ac:dyDescent="0.35">
      <c r="A28" s="269"/>
      <c r="B28" s="221"/>
      <c r="C28" s="222"/>
      <c r="D28" s="523"/>
      <c r="E28" s="606"/>
      <c r="F28" s="380"/>
      <c r="G28" s="228"/>
      <c r="H28" s="229"/>
      <c r="I28" s="562"/>
      <c r="J28" s="271"/>
      <c r="K28" s="416"/>
      <c r="L28" s="417"/>
      <c r="M28" s="417"/>
      <c r="N28" s="781"/>
      <c r="O28" s="778"/>
      <c r="P28" s="778"/>
      <c r="Q28" s="778"/>
    </row>
    <row r="29" spans="1:17" ht="25" x14ac:dyDescent="0.35">
      <c r="A29" s="269"/>
      <c r="B29" s="830" t="str">
        <f>'New Conn'!B373</f>
        <v>1.8  SSEG Single Phase Time of Use kWh meter (Connection to an erf, where the development costs has been paid)</v>
      </c>
      <c r="C29" s="222" t="str">
        <f>'New Conn'!H373</f>
        <v>Peri/Urban area</v>
      </c>
      <c r="D29" s="523">
        <f>'New Conn'!H401</f>
        <v>8560</v>
      </c>
      <c r="E29" s="606">
        <f t="shared" si="0"/>
        <v>9844</v>
      </c>
      <c r="F29" s="380">
        <f>'New Conn'!I401</f>
        <v>8510</v>
      </c>
      <c r="G29" s="228">
        <f t="shared" si="1"/>
        <v>-0.13551401869158877</v>
      </c>
      <c r="H29" s="229">
        <f t="shared" si="2"/>
        <v>1276.5</v>
      </c>
      <c r="I29" s="562">
        <f t="shared" si="3"/>
        <v>9786.5</v>
      </c>
      <c r="J29" s="271">
        <v>9100033030421</v>
      </c>
      <c r="K29" s="416">
        <f>+$I29*(1+'Unit tariffs'!$F$2)</f>
        <v>10344.3305</v>
      </c>
      <c r="L29" s="417">
        <f>+$K29*(1+'Unit tariffs'!$F$2)</f>
        <v>10933.957338499999</v>
      </c>
      <c r="M29" s="417">
        <f>+$L29*(1+'Unit tariffs'!$F$2)</f>
        <v>11557.192906794498</v>
      </c>
      <c r="N29" s="781">
        <f>+$M29*(1+'Unit tariffs'!$F$2)</f>
        <v>12215.952902481784</v>
      </c>
      <c r="O29" s="778"/>
      <c r="P29" s="778"/>
      <c r="Q29" s="778"/>
    </row>
    <row r="30" spans="1:17" x14ac:dyDescent="0.35">
      <c r="A30" s="269"/>
      <c r="B30" s="221"/>
      <c r="C30" s="222"/>
      <c r="D30" s="523"/>
      <c r="E30" s="606"/>
      <c r="F30" s="380"/>
      <c r="G30" s="228"/>
      <c r="H30" s="229"/>
      <c r="I30" s="562"/>
      <c r="J30" s="271"/>
      <c r="K30" s="416"/>
      <c r="L30" s="417"/>
      <c r="M30" s="417"/>
      <c r="N30" s="781"/>
      <c r="O30" s="778"/>
      <c r="P30" s="778"/>
      <c r="Q30" s="778"/>
    </row>
    <row r="31" spans="1:17" ht="37.5" x14ac:dyDescent="0.35">
      <c r="A31" s="269"/>
      <c r="B31" s="830" t="str">
        <f>'New Conn'!B406</f>
        <v>1.9 Single phase Peri-Urban domestic connection with TOU kWh meter.  Supplied by 25kVA single phase transformer (80A) from 11kV overhead line   (where an 11kV line exists and is within the first 350m)</v>
      </c>
      <c r="C31" s="222" t="str">
        <f>'New Conn'!H406</f>
        <v xml:space="preserve">  [Mangaung - peri urban area]</v>
      </c>
      <c r="D31" s="523">
        <f>'New Conn'!H436</f>
        <v>31400</v>
      </c>
      <c r="E31" s="606">
        <f t="shared" si="0"/>
        <v>36110</v>
      </c>
      <c r="F31" s="380">
        <f>'New Conn'!I436</f>
        <v>31210</v>
      </c>
      <c r="G31" s="228">
        <f t="shared" si="1"/>
        <v>-0.13569648296870673</v>
      </c>
      <c r="H31" s="229">
        <f t="shared" si="2"/>
        <v>4681.5</v>
      </c>
      <c r="I31" s="562">
        <f t="shared" si="3"/>
        <v>35891.5</v>
      </c>
      <c r="J31" s="271">
        <v>9100033030423</v>
      </c>
      <c r="K31" s="416">
        <f>+$I31*(1+'Unit tariffs'!$F$2)</f>
        <v>37937.315499999997</v>
      </c>
      <c r="L31" s="417">
        <f>+$K31*(1+'Unit tariffs'!$F$2)</f>
        <v>40099.742483499991</v>
      </c>
      <c r="M31" s="417">
        <f>+$L31*(1+'Unit tariffs'!$F$2)</f>
        <v>42385.427805059488</v>
      </c>
      <c r="N31" s="781">
        <f>+$M31*(1+'Unit tariffs'!$F$2)</f>
        <v>44801.397189947878</v>
      </c>
      <c r="O31" s="778"/>
      <c r="P31" s="778"/>
      <c r="Q31" s="778"/>
    </row>
    <row r="32" spans="1:17" x14ac:dyDescent="0.35">
      <c r="A32" s="269"/>
      <c r="B32" s="221"/>
      <c r="C32" s="222"/>
      <c r="D32" s="523"/>
      <c r="E32" s="606"/>
      <c r="F32" s="380"/>
      <c r="G32" s="228"/>
      <c r="H32" s="229"/>
      <c r="I32" s="562"/>
      <c r="J32" s="271"/>
      <c r="K32" s="416"/>
      <c r="L32" s="417"/>
      <c r="M32" s="417"/>
      <c r="N32" s="781"/>
      <c r="O32" s="778"/>
      <c r="P32" s="778"/>
      <c r="Q32" s="778"/>
    </row>
    <row r="33" spans="1:17" ht="37.5" x14ac:dyDescent="0.35">
      <c r="A33" s="269"/>
      <c r="B33" s="830" t="str">
        <f>'New Conn'!B443</f>
        <v>1.10 Single phase Peri-Urban domestic connection - Prepayment meter. - Supplied by 25kVA single phase Trfr (80A) from 11kV overhead line   (where an 11kV line exists and is within the first 350m)</v>
      </c>
      <c r="C33" s="222" t="str">
        <f>'New Conn'!H443</f>
        <v xml:space="preserve">  [Regional - peri urban area]</v>
      </c>
      <c r="D33" s="523">
        <f>'New Conn'!H475</f>
        <v>24520</v>
      </c>
      <c r="E33" s="606">
        <f t="shared" si="0"/>
        <v>28197.999999999996</v>
      </c>
      <c r="F33" s="380">
        <f>'New Conn'!I475</f>
        <v>24370</v>
      </c>
      <c r="G33" s="228">
        <f t="shared" si="1"/>
        <v>-0.13575430881622799</v>
      </c>
      <c r="H33" s="229">
        <f t="shared" si="2"/>
        <v>3655.5</v>
      </c>
      <c r="I33" s="562">
        <f t="shared" si="3"/>
        <v>28025.5</v>
      </c>
      <c r="J33" s="271">
        <v>9100033030425</v>
      </c>
      <c r="K33" s="416">
        <f>+$I33*(1+'Unit tariffs'!$F$2)</f>
        <v>29622.9535</v>
      </c>
      <c r="L33" s="417">
        <f>+$K33*(1+'Unit tariffs'!$F$2)</f>
        <v>31311.4618495</v>
      </c>
      <c r="M33" s="417">
        <f>+$L33*(1+'Unit tariffs'!$F$2)</f>
        <v>33096.215174921497</v>
      </c>
      <c r="N33" s="781">
        <f>+$M33*(1+'Unit tariffs'!$F$2)</f>
        <v>34982.699439892021</v>
      </c>
      <c r="O33" s="778"/>
      <c r="P33" s="778"/>
      <c r="Q33" s="778"/>
    </row>
    <row r="34" spans="1:17" x14ac:dyDescent="0.35">
      <c r="A34" s="269"/>
      <c r="B34" s="221"/>
      <c r="C34" s="222"/>
      <c r="D34" s="523"/>
      <c r="E34" s="606"/>
      <c r="F34" s="380"/>
      <c r="G34" s="228"/>
      <c r="H34" s="229"/>
      <c r="I34" s="562"/>
      <c r="J34" s="271"/>
      <c r="K34" s="416"/>
      <c r="L34" s="417"/>
      <c r="M34" s="417"/>
      <c r="N34" s="781"/>
      <c r="O34" s="778"/>
      <c r="P34" s="778"/>
      <c r="Q34" s="778"/>
    </row>
    <row r="35" spans="1:17" ht="25" x14ac:dyDescent="0.35">
      <c r="A35" s="269"/>
      <c r="B35" s="830" t="str">
        <f>'New Conn'!B483</f>
        <v>1.11  Additional  Meters Peri-Urban Area:  1x 1ph  Split pre-paid meter connection- limited up to 200kVA, LV per Erf. If more than one (1) meter is reuested, a cost estimate will be done.</v>
      </c>
      <c r="C35" s="222" t="str">
        <f>'New Conn'!H483</f>
        <v xml:space="preserve">  [Peri - urban area]</v>
      </c>
      <c r="D35" s="523">
        <f>'New Conn'!H508</f>
        <v>4160</v>
      </c>
      <c r="E35" s="606">
        <f t="shared" si="0"/>
        <v>4784</v>
      </c>
      <c r="F35" s="380">
        <f>'New Conn'!I508</f>
        <v>4140</v>
      </c>
      <c r="G35" s="228">
        <f t="shared" si="1"/>
        <v>-0.13461538461538461</v>
      </c>
      <c r="H35" s="229">
        <f t="shared" si="2"/>
        <v>621</v>
      </c>
      <c r="I35" s="562">
        <f t="shared" si="3"/>
        <v>4761</v>
      </c>
      <c r="J35" s="271">
        <v>9100033030427</v>
      </c>
      <c r="K35" s="416">
        <f>+$I35*(1+'Unit tariffs'!$F$2)</f>
        <v>5032.3769999999995</v>
      </c>
      <c r="L35" s="417">
        <f>+$K35*(1+'Unit tariffs'!$F$2)</f>
        <v>5319.2224889999989</v>
      </c>
      <c r="M35" s="417">
        <f>+$L35*(1+'Unit tariffs'!$F$2)</f>
        <v>5622.4181708729984</v>
      </c>
      <c r="N35" s="781">
        <f>+$M35*(1+'Unit tariffs'!$F$2)</f>
        <v>5942.8960066127593</v>
      </c>
      <c r="O35" s="778"/>
      <c r="P35" s="778"/>
      <c r="Q35" s="778"/>
    </row>
    <row r="36" spans="1:17" x14ac:dyDescent="0.35">
      <c r="A36" s="269"/>
      <c r="B36" s="221"/>
      <c r="C36" s="222"/>
      <c r="D36" s="523"/>
      <c r="E36" s="606"/>
      <c r="F36" s="380"/>
      <c r="G36" s="228"/>
      <c r="H36" s="229"/>
      <c r="I36" s="562"/>
      <c r="J36" s="271"/>
      <c r="K36" s="416"/>
      <c r="L36" s="417"/>
      <c r="M36" s="417"/>
      <c r="N36" s="781"/>
      <c r="O36" s="778"/>
      <c r="P36" s="778"/>
      <c r="Q36" s="778"/>
    </row>
    <row r="37" spans="1:17" ht="25" x14ac:dyDescent="0.35">
      <c r="A37" s="269"/>
      <c r="B37" s="830" t="str">
        <f>'New Conn'!B514</f>
        <v>1.12  Additional  Meters Urban Area:  1x 1ph  Split pre-paid meter connection- limited up to 500kVA, LV per Erf. If more than one (1) meter is reuested, a cost estimate will be done.</v>
      </c>
      <c r="C37" s="222" t="str">
        <f>'New Conn'!H514</f>
        <v xml:space="preserve">  [Urban area]</v>
      </c>
      <c r="D37" s="523">
        <f>'New Conn'!H536</f>
        <v>2940</v>
      </c>
      <c r="E37" s="606">
        <f t="shared" si="0"/>
        <v>3380.9999999999995</v>
      </c>
      <c r="F37" s="380">
        <f>'New Conn'!I536</f>
        <v>2930</v>
      </c>
      <c r="G37" s="228">
        <f t="shared" si="1"/>
        <v>-0.1333924874297544</v>
      </c>
      <c r="H37" s="229">
        <f t="shared" si="2"/>
        <v>439.5</v>
      </c>
      <c r="I37" s="562">
        <f t="shared" si="3"/>
        <v>3369.5</v>
      </c>
      <c r="J37" s="271">
        <v>9100033030429</v>
      </c>
      <c r="K37" s="416">
        <f>+$I37*(1+'Unit tariffs'!$F$2)</f>
        <v>3561.5614999999998</v>
      </c>
      <c r="L37" s="417">
        <f>+$K37*(1+'Unit tariffs'!$F$2)</f>
        <v>3764.5705054999994</v>
      </c>
      <c r="M37" s="417">
        <f>+$L37*(1+'Unit tariffs'!$F$2)</f>
        <v>3979.151024313499</v>
      </c>
      <c r="N37" s="781">
        <f>+$M37*(1+'Unit tariffs'!$F$2)</f>
        <v>4205.9626326993684</v>
      </c>
      <c r="O37" s="778"/>
      <c r="P37" s="778"/>
      <c r="Q37" s="778"/>
    </row>
    <row r="38" spans="1:17" x14ac:dyDescent="0.35">
      <c r="A38" s="269"/>
      <c r="B38" s="221"/>
      <c r="C38" s="222"/>
      <c r="D38" s="523"/>
      <c r="E38" s="606"/>
      <c r="F38" s="380"/>
      <c r="G38" s="228"/>
      <c r="H38" s="229"/>
      <c r="I38" s="562"/>
      <c r="J38" s="271"/>
      <c r="K38" s="416"/>
      <c r="L38" s="417"/>
      <c r="M38" s="417"/>
      <c r="N38" s="781"/>
      <c r="O38" s="778"/>
      <c r="P38" s="778"/>
      <c r="Q38" s="778"/>
    </row>
    <row r="39" spans="1:17" x14ac:dyDescent="0.35">
      <c r="A39" s="269"/>
      <c r="B39" s="227" t="str">
        <f>'New Conn'!B546</f>
        <v>2. NEW THREE PHASE DOMESTIC CONNECTIONS</v>
      </c>
      <c r="C39" s="222"/>
      <c r="D39" s="523"/>
      <c r="E39" s="606"/>
      <c r="F39" s="380"/>
      <c r="G39" s="228"/>
      <c r="H39" s="229"/>
      <c r="I39" s="562"/>
      <c r="J39" s="271"/>
      <c r="K39" s="416"/>
      <c r="L39" s="417"/>
      <c r="M39" s="417"/>
      <c r="N39" s="781"/>
      <c r="O39" s="778"/>
      <c r="P39" s="778"/>
      <c r="Q39" s="778"/>
    </row>
    <row r="40" spans="1:17" x14ac:dyDescent="0.35">
      <c r="A40" s="269"/>
      <c r="B40" s="221"/>
      <c r="C40" s="222"/>
      <c r="D40" s="523"/>
      <c r="E40" s="606"/>
      <c r="F40" s="380"/>
      <c r="G40" s="228"/>
      <c r="H40" s="229"/>
      <c r="I40" s="562"/>
      <c r="J40" s="271"/>
      <c r="K40" s="416"/>
      <c r="L40" s="417"/>
      <c r="M40" s="417"/>
      <c r="N40" s="781"/>
      <c r="O40" s="778"/>
      <c r="P40" s="778"/>
      <c r="Q40" s="778"/>
    </row>
    <row r="41" spans="1:17" ht="37.5" x14ac:dyDescent="0.35">
      <c r="A41" s="269"/>
      <c r="B41" s="830" t="str">
        <f>'New Conn'!B549</f>
        <v>2.1 Three phase domestic connection (80A) in meter box,  Time of use (TOU) meter :  Connection in meter box placed on stand boundary (Connection to an erf, where the development costs has NOT been paid).</v>
      </c>
      <c r="C41" s="222" t="str">
        <f>'New Conn'!H549</f>
        <v xml:space="preserve"> [Mangaung - Urban]</v>
      </c>
      <c r="D41" s="523">
        <f>'New Conn'!H584</f>
        <v>30080</v>
      </c>
      <c r="E41" s="606">
        <f t="shared" si="0"/>
        <v>34592</v>
      </c>
      <c r="F41" s="380">
        <f>'New Conn'!I584</f>
        <v>29790</v>
      </c>
      <c r="G41" s="228">
        <f t="shared" si="1"/>
        <v>-0.13881822386679002</v>
      </c>
      <c r="H41" s="229">
        <f t="shared" si="2"/>
        <v>4468.5</v>
      </c>
      <c r="I41" s="562">
        <f t="shared" si="3"/>
        <v>34258.5</v>
      </c>
      <c r="J41" s="271">
        <v>9100033030433</v>
      </c>
      <c r="K41" s="416">
        <f>+$I41*(1+'Unit tariffs'!$F$2)</f>
        <v>36211.234499999999</v>
      </c>
      <c r="L41" s="417">
        <f>+$K41*(1+'Unit tariffs'!$F$2)</f>
        <v>38275.274866499996</v>
      </c>
      <c r="M41" s="417">
        <f>+$L41*(1+'Unit tariffs'!$F$2)</f>
        <v>40456.965533890492</v>
      </c>
      <c r="N41" s="781">
        <f>+$M41*(1+'Unit tariffs'!$F$2)</f>
        <v>42763.012569322251</v>
      </c>
      <c r="O41" s="778"/>
      <c r="P41" s="778"/>
      <c r="Q41" s="778"/>
    </row>
    <row r="42" spans="1:17" x14ac:dyDescent="0.35">
      <c r="A42" s="269"/>
      <c r="B42" s="221"/>
      <c r="C42" s="222"/>
      <c r="D42" s="523"/>
      <c r="E42" s="606"/>
      <c r="F42" s="380"/>
      <c r="G42" s="228"/>
      <c r="H42" s="229"/>
      <c r="I42" s="562"/>
      <c r="J42" s="271"/>
      <c r="K42" s="416"/>
      <c r="L42" s="417"/>
      <c r="M42" s="417"/>
      <c r="N42" s="781"/>
      <c r="O42" s="778"/>
      <c r="P42" s="778"/>
      <c r="Q42" s="778"/>
    </row>
    <row r="43" spans="1:17" ht="37.5" x14ac:dyDescent="0.35">
      <c r="A43" s="269"/>
      <c r="B43" s="830" t="str">
        <f>'New Conn'!B590</f>
        <v xml:space="preserve">2.2 Three phase domestic connection (80A) in meter box,  Time of use (TOU) meter :  Connection in meter box placed on stand boundary  (Connection to an erf, where the development costs has NOT been paid) .                                 </v>
      </c>
      <c r="C43" s="222" t="str">
        <f>'New Conn'!H590</f>
        <v xml:space="preserve">  [Regional - Urban]</v>
      </c>
      <c r="D43" s="523">
        <f>'New Conn'!H618</f>
        <v>18740</v>
      </c>
      <c r="E43" s="606">
        <f t="shared" si="0"/>
        <v>21551</v>
      </c>
      <c r="F43" s="380">
        <f>'New Conn'!I618</f>
        <v>17660</v>
      </c>
      <c r="G43" s="228">
        <f t="shared" si="1"/>
        <v>-0.180548466428472</v>
      </c>
      <c r="H43" s="229">
        <f t="shared" si="2"/>
        <v>2649</v>
      </c>
      <c r="I43" s="562">
        <f t="shared" si="3"/>
        <v>20309</v>
      </c>
      <c r="J43" s="271">
        <v>9100033030435</v>
      </c>
      <c r="K43" s="416">
        <f>+$I43*(1+'Unit tariffs'!$F$2)</f>
        <v>21466.612999999998</v>
      </c>
      <c r="L43" s="417">
        <f>+$K43*(1+'Unit tariffs'!$F$2)</f>
        <v>22690.209940999997</v>
      </c>
      <c r="M43" s="417">
        <f>+$L43*(1+'Unit tariffs'!$F$2)</f>
        <v>23983.551907636996</v>
      </c>
      <c r="N43" s="781">
        <f>+$M43*(1+'Unit tariffs'!$F$2)</f>
        <v>25350.614366372305</v>
      </c>
      <c r="O43" s="778"/>
      <c r="P43" s="778"/>
      <c r="Q43" s="778"/>
    </row>
    <row r="44" spans="1:17" x14ac:dyDescent="0.35">
      <c r="A44" s="269"/>
      <c r="B44" s="221"/>
      <c r="C44" s="222"/>
      <c r="D44" s="523"/>
      <c r="E44" s="606"/>
      <c r="F44" s="380"/>
      <c r="G44" s="228"/>
      <c r="H44" s="229"/>
      <c r="I44" s="562"/>
      <c r="J44" s="271"/>
      <c r="K44" s="416"/>
      <c r="L44" s="417"/>
      <c r="M44" s="417"/>
      <c r="N44" s="781"/>
      <c r="O44" s="778"/>
      <c r="P44" s="778"/>
      <c r="Q44" s="778"/>
    </row>
    <row r="45" spans="1:17" ht="37.5" x14ac:dyDescent="0.35">
      <c r="A45" s="269"/>
      <c r="B45" s="830" t="str">
        <f>'New Conn'!B626</f>
        <v>2.3 SSEG Three phase domestic connection (80A) in meter box,  Time of use (TOU) meter :  Connection in meter box placed on stand boundary . (Connection to an erf, where the development costs has NOT been paid).</v>
      </c>
      <c r="C45" s="222" t="str">
        <f>'New Conn'!H626</f>
        <v xml:space="preserve"> [Mangaung - Urban]</v>
      </c>
      <c r="D45" s="523">
        <f>'New Conn'!H661</f>
        <v>29710</v>
      </c>
      <c r="E45" s="606">
        <f t="shared" si="0"/>
        <v>34166.5</v>
      </c>
      <c r="F45" s="380">
        <f>'New Conn'!I661</f>
        <v>29420</v>
      </c>
      <c r="G45" s="228">
        <f t="shared" si="1"/>
        <v>-0.13892262889087265</v>
      </c>
      <c r="H45" s="229">
        <f t="shared" si="2"/>
        <v>4413</v>
      </c>
      <c r="I45" s="562">
        <f t="shared" si="3"/>
        <v>33833</v>
      </c>
      <c r="J45" s="271">
        <v>9100033030437</v>
      </c>
      <c r="K45" s="416">
        <f>+$I45*(1+'Unit tariffs'!$F$2)</f>
        <v>35761.481</v>
      </c>
      <c r="L45" s="417">
        <f>+$K45*(1+'Unit tariffs'!$F$2)</f>
        <v>37799.885416999998</v>
      </c>
      <c r="M45" s="417">
        <f>+$L45*(1+'Unit tariffs'!$F$2)</f>
        <v>39954.478885768993</v>
      </c>
      <c r="N45" s="781">
        <f>+$M45*(1+'Unit tariffs'!$F$2)</f>
        <v>42231.884182257825</v>
      </c>
      <c r="O45" s="778"/>
      <c r="P45" s="778"/>
      <c r="Q45" s="778"/>
    </row>
    <row r="46" spans="1:17" x14ac:dyDescent="0.35">
      <c r="A46" s="269"/>
      <c r="B46" s="221"/>
      <c r="C46" s="222"/>
      <c r="D46" s="523"/>
      <c r="E46" s="606"/>
      <c r="F46" s="380"/>
      <c r="G46" s="228"/>
      <c r="H46" s="229"/>
      <c r="I46" s="562"/>
      <c r="J46" s="271"/>
      <c r="K46" s="416"/>
      <c r="L46" s="417"/>
      <c r="M46" s="417"/>
      <c r="N46" s="781"/>
      <c r="O46" s="778"/>
      <c r="P46" s="778"/>
      <c r="Q46" s="778"/>
    </row>
    <row r="47" spans="1:17" ht="38.5" x14ac:dyDescent="0.35">
      <c r="A47" s="269"/>
      <c r="B47" s="221" t="str">
        <f>'New Conn'!B667</f>
        <v xml:space="preserve">2.4 SSEG Three phase domestic connection (80A) in meter box,  Time of use (TOU) meter :  Connection in meter box placed on stand boundary taken from (Connection to an erf, where the development costs has NOT been paid).                                    </v>
      </c>
      <c r="C47" s="222" t="str">
        <f>'New Conn'!H667</f>
        <v xml:space="preserve">  [Regional -  Urban area]</v>
      </c>
      <c r="D47" s="523">
        <f>'New Conn'!H695</f>
        <v>20460</v>
      </c>
      <c r="E47" s="606">
        <f t="shared" si="0"/>
        <v>23529</v>
      </c>
      <c r="F47" s="380">
        <f>'New Conn'!I695</f>
        <v>18840</v>
      </c>
      <c r="G47" s="228">
        <f t="shared" si="1"/>
        <v>-0.19928598750478133</v>
      </c>
      <c r="H47" s="229">
        <f t="shared" si="2"/>
        <v>2826</v>
      </c>
      <c r="I47" s="562">
        <f t="shared" si="3"/>
        <v>21666</v>
      </c>
      <c r="J47" s="271">
        <v>9100033030439</v>
      </c>
      <c r="K47" s="416">
        <f>+$I47*(1+'Unit tariffs'!$F$2)</f>
        <v>22900.962</v>
      </c>
      <c r="L47" s="417">
        <f>+$K47*(1+'Unit tariffs'!$F$2)</f>
        <v>24206.316833999997</v>
      </c>
      <c r="M47" s="417">
        <f>+$L47*(1+'Unit tariffs'!$F$2)</f>
        <v>25586.076893537997</v>
      </c>
      <c r="N47" s="781">
        <f>+$M47*(1+'Unit tariffs'!$F$2)</f>
        <v>27044.483276469662</v>
      </c>
      <c r="O47" s="778"/>
      <c r="P47" s="778"/>
      <c r="Q47" s="778"/>
    </row>
    <row r="48" spans="1:17" x14ac:dyDescent="0.35">
      <c r="A48" s="269"/>
      <c r="B48" s="830"/>
      <c r="C48" s="222"/>
      <c r="D48" s="523"/>
      <c r="E48" s="606"/>
      <c r="F48" s="380"/>
      <c r="G48" s="228"/>
      <c r="H48" s="229"/>
      <c r="I48" s="562"/>
      <c r="J48" s="271"/>
      <c r="K48" s="416"/>
      <c r="L48" s="417"/>
      <c r="M48" s="417"/>
      <c r="N48" s="781"/>
      <c r="O48" s="778"/>
      <c r="P48" s="778"/>
      <c r="Q48" s="778"/>
    </row>
    <row r="49" spans="1:17" ht="25" x14ac:dyDescent="0.35">
      <c r="A49" s="269"/>
      <c r="B49" s="830" t="str">
        <f>'New Conn'!B700</f>
        <v>2.5 Three phase domestic connection in meter box, Split pre-payment meter (Connection to an erf, where the development costs has NOT been paid)</v>
      </c>
      <c r="C49" s="222" t="str">
        <f>'New Conn'!H700</f>
        <v xml:space="preserve">  [Mangaung - Urban]</v>
      </c>
      <c r="D49" s="523">
        <f>'New Conn'!H735</f>
        <v>30270</v>
      </c>
      <c r="E49" s="606">
        <f t="shared" si="0"/>
        <v>34810.5</v>
      </c>
      <c r="F49" s="380">
        <f>'New Conn'!I735</f>
        <v>30270</v>
      </c>
      <c r="G49" s="228">
        <f t="shared" si="1"/>
        <v>-0.13043478260869565</v>
      </c>
      <c r="H49" s="229">
        <f t="shared" si="2"/>
        <v>4540.5</v>
      </c>
      <c r="I49" s="562">
        <f t="shared" si="3"/>
        <v>34810.5</v>
      </c>
      <c r="J49" s="271">
        <v>9100033030441</v>
      </c>
      <c r="K49" s="416">
        <f>+$I49*(1+'Unit tariffs'!$F$2)</f>
        <v>36794.698499999999</v>
      </c>
      <c r="L49" s="417">
        <f>+$K49*(1+'Unit tariffs'!$F$2)</f>
        <v>38891.996314499993</v>
      </c>
      <c r="M49" s="417">
        <f>+$L49*(1+'Unit tariffs'!$F$2)</f>
        <v>41108.84010442649</v>
      </c>
      <c r="N49" s="781">
        <f>+$M49*(1+'Unit tariffs'!$F$2)</f>
        <v>43452.043990378799</v>
      </c>
      <c r="O49" s="778"/>
      <c r="P49" s="778"/>
      <c r="Q49" s="778"/>
    </row>
    <row r="50" spans="1:17" x14ac:dyDescent="0.35">
      <c r="A50" s="269"/>
      <c r="B50" s="221"/>
      <c r="C50" s="222"/>
      <c r="D50" s="523"/>
      <c r="E50" s="606"/>
      <c r="F50" s="380"/>
      <c r="G50" s="228"/>
      <c r="H50" s="229"/>
      <c r="I50" s="562"/>
      <c r="J50" s="271"/>
      <c r="K50" s="416"/>
      <c r="L50" s="417"/>
      <c r="M50" s="417"/>
      <c r="N50" s="781"/>
      <c r="O50" s="778"/>
      <c r="P50" s="778"/>
      <c r="Q50" s="778"/>
    </row>
    <row r="51" spans="1:17" ht="25" x14ac:dyDescent="0.35">
      <c r="A51" s="269"/>
      <c r="B51" s="830" t="str">
        <f>'New Conn'!B742</f>
        <v>2.6 Three phase domestic connection in meter box, Split pre-payment meter. (Connection to an erf, where the development costs has NOT been paid)</v>
      </c>
      <c r="C51" s="222" t="str">
        <f>'New Conn'!H742</f>
        <v xml:space="preserve">  [Regional - Urban]</v>
      </c>
      <c r="D51" s="523">
        <f>'New Conn'!H773</f>
        <v>18420</v>
      </c>
      <c r="E51" s="606">
        <f t="shared" si="0"/>
        <v>21183</v>
      </c>
      <c r="F51" s="380">
        <f>'New Conn'!I773</f>
        <v>18420</v>
      </c>
      <c r="G51" s="228">
        <f t="shared" si="1"/>
        <v>-0.13043478260869565</v>
      </c>
      <c r="H51" s="229">
        <f t="shared" si="2"/>
        <v>2763</v>
      </c>
      <c r="I51" s="562">
        <f t="shared" si="3"/>
        <v>21183</v>
      </c>
      <c r="J51" s="271">
        <v>9100033030443</v>
      </c>
      <c r="K51" s="416">
        <f>+$I51*(1+'Unit tariffs'!$F$2)</f>
        <v>22390.431</v>
      </c>
      <c r="L51" s="417">
        <f>+$K51*(1+'Unit tariffs'!$F$2)</f>
        <v>23666.685567</v>
      </c>
      <c r="M51" s="417">
        <f>+$L51*(1+'Unit tariffs'!$F$2)</f>
        <v>25015.686644318997</v>
      </c>
      <c r="N51" s="781">
        <f>+$M51*(1+'Unit tariffs'!$F$2)</f>
        <v>26441.580783045178</v>
      </c>
      <c r="O51" s="778"/>
      <c r="P51" s="778"/>
      <c r="Q51" s="778"/>
    </row>
    <row r="52" spans="1:17" x14ac:dyDescent="0.35">
      <c r="A52" s="269"/>
      <c r="B52" s="221"/>
      <c r="C52" s="222"/>
      <c r="D52" s="523"/>
      <c r="E52" s="606"/>
      <c r="F52" s="380"/>
      <c r="G52" s="228"/>
      <c r="H52" s="229"/>
      <c r="I52" s="562"/>
      <c r="J52" s="271"/>
      <c r="K52" s="416"/>
      <c r="L52" s="417"/>
      <c r="M52" s="417"/>
      <c r="N52" s="781"/>
      <c r="O52" s="778"/>
      <c r="P52" s="778"/>
      <c r="Q52" s="778"/>
    </row>
    <row r="53" spans="1:17" ht="37.5" x14ac:dyDescent="0.35">
      <c r="A53" s="269"/>
      <c r="B53" s="830" t="str">
        <f>'New Conn'!B776</f>
        <v>2.7 Three phase domestic connection (80A) in meter box,  Time of use (TOU) meter :  Connection in meter box placed on stand boundary (Connection to an erf, where the development costs has been paid [5kVA]).</v>
      </c>
      <c r="C53" s="222" t="str">
        <f>'New Conn'!H776</f>
        <v xml:space="preserve"> [Mangaung - Urban]</v>
      </c>
      <c r="D53" s="523">
        <f>'New Conn'!H811</f>
        <v>11890</v>
      </c>
      <c r="E53" s="606">
        <f t="shared" si="0"/>
        <v>13673.499999999998</v>
      </c>
      <c r="F53" s="380">
        <f>'New Conn'!I811</f>
        <v>11890</v>
      </c>
      <c r="G53" s="228">
        <f t="shared" si="1"/>
        <v>-0.13043478260869554</v>
      </c>
      <c r="H53" s="229">
        <f t="shared" si="2"/>
        <v>1783.5</v>
      </c>
      <c r="I53" s="562">
        <f t="shared" si="3"/>
        <v>13673.5</v>
      </c>
      <c r="J53" s="271">
        <v>9100033030445</v>
      </c>
      <c r="K53" s="416">
        <f>+$I53*(1+'Unit tariffs'!$F$2)</f>
        <v>14452.889499999999</v>
      </c>
      <c r="L53" s="417">
        <f>+$K53*(1+'Unit tariffs'!$F$2)</f>
        <v>15276.704201499999</v>
      </c>
      <c r="M53" s="417">
        <f>+$L53*(1+'Unit tariffs'!$F$2)</f>
        <v>16147.476340985499</v>
      </c>
      <c r="N53" s="781">
        <f>+$M53*(1+'Unit tariffs'!$F$2)</f>
        <v>17067.882492421671</v>
      </c>
      <c r="O53" s="778"/>
      <c r="P53" s="778"/>
      <c r="Q53" s="778"/>
    </row>
    <row r="54" spans="1:17" x14ac:dyDescent="0.35">
      <c r="A54" s="269"/>
      <c r="B54" s="221"/>
      <c r="C54" s="222"/>
      <c r="D54" s="523"/>
      <c r="E54" s="606"/>
      <c r="F54" s="380"/>
      <c r="G54" s="228"/>
      <c r="H54" s="229"/>
      <c r="I54" s="562"/>
      <c r="J54" s="271"/>
      <c r="K54" s="416"/>
      <c r="L54" s="417"/>
      <c r="M54" s="417"/>
      <c r="N54" s="781"/>
      <c r="O54" s="778"/>
      <c r="P54" s="778"/>
      <c r="Q54" s="778"/>
    </row>
    <row r="55" spans="1:17" ht="37.5" x14ac:dyDescent="0.35">
      <c r="A55" s="269"/>
      <c r="B55" s="830" t="str">
        <f>'New Conn'!B817</f>
        <v xml:space="preserve">2.8 Three phase domestic connection (80A) in meter box,  Time of use (TOU) meter :  Connection in meter box placed on stand boundary  (Connection to an erf, where the development costs has been paid [5kVA]).                                 </v>
      </c>
      <c r="C55" s="222" t="str">
        <f>'New Conn'!H817</f>
        <v xml:space="preserve">  [Regional - Urban]</v>
      </c>
      <c r="D55" s="523">
        <f>'New Conn'!H845</f>
        <v>9110</v>
      </c>
      <c r="E55" s="606">
        <f t="shared" si="0"/>
        <v>10476.5</v>
      </c>
      <c r="F55" s="380">
        <f>'New Conn'!I845</f>
        <v>8030</v>
      </c>
      <c r="G55" s="228">
        <f t="shared" si="1"/>
        <v>-0.23352264592182503</v>
      </c>
      <c r="H55" s="229">
        <f t="shared" si="2"/>
        <v>1204.5</v>
      </c>
      <c r="I55" s="562">
        <f t="shared" si="3"/>
        <v>9234.5</v>
      </c>
      <c r="J55" s="271">
        <v>9100033030447</v>
      </c>
      <c r="K55" s="416">
        <f>+$I55*(1+'Unit tariffs'!$F$2)</f>
        <v>9760.8665000000001</v>
      </c>
      <c r="L55" s="417">
        <f>+$K55*(1+'Unit tariffs'!$F$2)</f>
        <v>10317.2358905</v>
      </c>
      <c r="M55" s="417">
        <f>+$L55*(1+'Unit tariffs'!$F$2)</f>
        <v>10905.318336258499</v>
      </c>
      <c r="N55" s="781">
        <f>+$M55*(1+'Unit tariffs'!$F$2)</f>
        <v>11526.921481425232</v>
      </c>
      <c r="O55" s="778"/>
      <c r="P55" s="778"/>
      <c r="Q55" s="778"/>
    </row>
    <row r="56" spans="1:17" x14ac:dyDescent="0.35">
      <c r="A56" s="269"/>
      <c r="B56" s="221"/>
      <c r="C56" s="222"/>
      <c r="D56" s="523"/>
      <c r="E56" s="606"/>
      <c r="F56" s="380"/>
      <c r="G56" s="228"/>
      <c r="H56" s="229"/>
      <c r="I56" s="562"/>
      <c r="J56" s="271"/>
      <c r="K56" s="416"/>
      <c r="L56" s="417"/>
      <c r="M56" s="417"/>
      <c r="N56" s="781"/>
      <c r="O56" s="778"/>
      <c r="P56" s="778"/>
      <c r="Q56" s="778"/>
    </row>
    <row r="57" spans="1:17" ht="37.5" x14ac:dyDescent="0.35">
      <c r="A57" s="269"/>
      <c r="B57" s="830" t="str">
        <f>'New Conn'!B853</f>
        <v>2.9 SSEG Three phase domestic connection (80A) in meter box,  Time of use (TOU) meter :  Connection in meter box placed on stand boundary . (Connection to an erf, where the development costs has been paid [5kVA]).</v>
      </c>
      <c r="C57" s="222" t="str">
        <f>'New Conn'!H853</f>
        <v xml:space="preserve"> [Mangaung - Urban]</v>
      </c>
      <c r="D57" s="523">
        <f>'New Conn'!H888</f>
        <v>11890</v>
      </c>
      <c r="E57" s="606">
        <f t="shared" si="0"/>
        <v>13673.499999999998</v>
      </c>
      <c r="F57" s="380">
        <f>'New Conn'!I888</f>
        <v>11890</v>
      </c>
      <c r="G57" s="228">
        <f t="shared" si="1"/>
        <v>-0.13043478260869554</v>
      </c>
      <c r="H57" s="229">
        <f t="shared" si="2"/>
        <v>1783.5</v>
      </c>
      <c r="I57" s="562">
        <f t="shared" si="3"/>
        <v>13673.5</v>
      </c>
      <c r="J57" s="271">
        <v>9100033030449</v>
      </c>
      <c r="K57" s="416">
        <f>+$I57*(1+'Unit tariffs'!$F$2)</f>
        <v>14452.889499999999</v>
      </c>
      <c r="L57" s="417">
        <f>+$K57*(1+'Unit tariffs'!$F$2)</f>
        <v>15276.704201499999</v>
      </c>
      <c r="M57" s="417">
        <f>+$L57*(1+'Unit tariffs'!$F$2)</f>
        <v>16147.476340985499</v>
      </c>
      <c r="N57" s="781">
        <f>+$M57*(1+'Unit tariffs'!$F$2)</f>
        <v>17067.882492421671</v>
      </c>
      <c r="O57" s="778"/>
      <c r="P57" s="778"/>
      <c r="Q57" s="778"/>
    </row>
    <row r="58" spans="1:17" x14ac:dyDescent="0.35">
      <c r="A58" s="269"/>
      <c r="B58" s="221"/>
      <c r="C58" s="222"/>
      <c r="D58" s="523"/>
      <c r="E58" s="606"/>
      <c r="F58" s="380"/>
      <c r="G58" s="228"/>
      <c r="H58" s="229"/>
      <c r="I58" s="562"/>
      <c r="J58" s="271"/>
      <c r="K58" s="416"/>
      <c r="L58" s="417"/>
      <c r="M58" s="417"/>
      <c r="N58" s="781"/>
      <c r="O58" s="778"/>
      <c r="P58" s="778"/>
      <c r="Q58" s="778"/>
    </row>
    <row r="59" spans="1:17" ht="37.5" x14ac:dyDescent="0.35">
      <c r="A59" s="269"/>
      <c r="B59" s="830" t="str">
        <f>'New Conn'!B894</f>
        <v xml:space="preserve">2.10 SSEG Three phase domestic connection (80A) in meter box,  Time of use (TOU) meter :  Connection in meter box placed on stand boundary taken from (Connection to an erf, where the development costs has been paid [5kVA]).                                    </v>
      </c>
      <c r="C59" s="222" t="str">
        <f>'New Conn'!H894</f>
        <v xml:space="preserve">  [Regional -  Urban area]</v>
      </c>
      <c r="D59" s="523">
        <f>'New Conn'!H921</f>
        <v>9110</v>
      </c>
      <c r="E59" s="606">
        <f t="shared" si="0"/>
        <v>10476.5</v>
      </c>
      <c r="F59" s="380">
        <f>'New Conn'!I921</f>
        <v>8030</v>
      </c>
      <c r="G59" s="228">
        <f t="shared" si="1"/>
        <v>-0.23352264592182503</v>
      </c>
      <c r="H59" s="229">
        <f t="shared" si="2"/>
        <v>1204.5</v>
      </c>
      <c r="I59" s="562">
        <f t="shared" si="3"/>
        <v>9234.5</v>
      </c>
      <c r="J59" s="271">
        <v>9100033030451</v>
      </c>
      <c r="K59" s="416">
        <f>+$I59*(1+'Unit tariffs'!$F$2)</f>
        <v>9760.8665000000001</v>
      </c>
      <c r="L59" s="417">
        <f>+$K59*(1+'Unit tariffs'!$F$2)</f>
        <v>10317.2358905</v>
      </c>
      <c r="M59" s="417">
        <f>+$L59*(1+'Unit tariffs'!$F$2)</f>
        <v>10905.318336258499</v>
      </c>
      <c r="N59" s="781">
        <f>+$M59*(1+'Unit tariffs'!$F$2)</f>
        <v>11526.921481425232</v>
      </c>
      <c r="O59" s="778"/>
      <c r="P59" s="778"/>
      <c r="Q59" s="778"/>
    </row>
    <row r="60" spans="1:17" x14ac:dyDescent="0.35">
      <c r="A60" s="269"/>
      <c r="B60" s="221"/>
      <c r="C60" s="222"/>
      <c r="D60" s="523"/>
      <c r="E60" s="606"/>
      <c r="F60" s="380"/>
      <c r="G60" s="228"/>
      <c r="H60" s="229"/>
      <c r="I60" s="562"/>
      <c r="J60" s="271"/>
      <c r="K60" s="416"/>
      <c r="L60" s="417"/>
      <c r="M60" s="417"/>
      <c r="N60" s="781"/>
      <c r="O60" s="778"/>
      <c r="P60" s="778"/>
      <c r="Q60" s="778"/>
    </row>
    <row r="61" spans="1:17" ht="25" x14ac:dyDescent="0.35">
      <c r="A61" s="269"/>
      <c r="B61" s="830" t="str">
        <f>'New Conn'!B926</f>
        <v>2.11 Three phase domestic connection in meter box, Split pre-payment meter (Connection to an erf, where the development costs has been paid [5kVA]).</v>
      </c>
      <c r="C61" s="222" t="str">
        <f>'New Conn'!H926</f>
        <v xml:space="preserve">  [Mangaung - Urban]</v>
      </c>
      <c r="D61" s="523">
        <f>'New Conn'!H961</f>
        <v>12740</v>
      </c>
      <c r="E61" s="606">
        <f t="shared" si="0"/>
        <v>14650.999999999998</v>
      </c>
      <c r="F61" s="380">
        <f>'New Conn'!I961</f>
        <v>12740</v>
      </c>
      <c r="G61" s="228">
        <f t="shared" si="1"/>
        <v>-0.13043478260869554</v>
      </c>
      <c r="H61" s="229">
        <f t="shared" si="2"/>
        <v>1911</v>
      </c>
      <c r="I61" s="562">
        <f t="shared" si="3"/>
        <v>14651</v>
      </c>
      <c r="J61" s="271">
        <v>9100033030453</v>
      </c>
      <c r="K61" s="416">
        <f>+$I61*(1+'Unit tariffs'!$F$2)</f>
        <v>15486.107</v>
      </c>
      <c r="L61" s="417">
        <f>+$K61*(1+'Unit tariffs'!$F$2)</f>
        <v>16368.815098999999</v>
      </c>
      <c r="M61" s="417">
        <f>+$L61*(1+'Unit tariffs'!$F$2)</f>
        <v>17301.837559642998</v>
      </c>
      <c r="N61" s="781">
        <f>+$M61*(1+'Unit tariffs'!$F$2)</f>
        <v>18288.042300542649</v>
      </c>
      <c r="O61" s="778"/>
      <c r="P61" s="778"/>
      <c r="Q61" s="778"/>
    </row>
    <row r="62" spans="1:17" x14ac:dyDescent="0.35">
      <c r="A62" s="269"/>
      <c r="B62" s="221"/>
      <c r="C62" s="222"/>
      <c r="D62" s="523"/>
      <c r="E62" s="606"/>
      <c r="F62" s="380"/>
      <c r="G62" s="228"/>
      <c r="H62" s="229"/>
      <c r="I62" s="562"/>
      <c r="J62" s="271"/>
      <c r="K62" s="416"/>
      <c r="L62" s="417"/>
      <c r="M62" s="417"/>
      <c r="N62" s="781"/>
      <c r="O62" s="778"/>
      <c r="P62" s="778"/>
      <c r="Q62" s="778"/>
    </row>
    <row r="63" spans="1:17" ht="25" x14ac:dyDescent="0.35">
      <c r="A63" s="269"/>
      <c r="B63" s="830" t="str">
        <f>'New Conn'!B968</f>
        <v>2.12 Three phase domestic connection in meter box, Split pre-payment meter. (Connection to an erf, where the development costs has been paid [5kVA]).</v>
      </c>
      <c r="C63" s="222" t="str">
        <f>'New Conn'!H968</f>
        <v xml:space="preserve">  [Regional - Urban]</v>
      </c>
      <c r="D63" s="523">
        <f>'New Conn'!H999</f>
        <v>8800</v>
      </c>
      <c r="E63" s="606">
        <f t="shared" si="0"/>
        <v>10120</v>
      </c>
      <c r="F63" s="380">
        <f>'New Conn'!I999</f>
        <v>8800</v>
      </c>
      <c r="G63" s="228">
        <f t="shared" si="1"/>
        <v>-0.13043478260869565</v>
      </c>
      <c r="H63" s="229">
        <f t="shared" si="2"/>
        <v>1320</v>
      </c>
      <c r="I63" s="562">
        <f t="shared" si="3"/>
        <v>10120</v>
      </c>
      <c r="J63" s="271">
        <v>9100033030455</v>
      </c>
      <c r="K63" s="416">
        <f>+$I63*(1+'Unit tariffs'!$F$2)</f>
        <v>10696.84</v>
      </c>
      <c r="L63" s="417">
        <f>+$K63*(1+'Unit tariffs'!$F$2)</f>
        <v>11306.559879999999</v>
      </c>
      <c r="M63" s="417">
        <f>+$L63*(1+'Unit tariffs'!$F$2)</f>
        <v>11951.033793159999</v>
      </c>
      <c r="N63" s="781">
        <f>+$M63*(1+'Unit tariffs'!$F$2)</f>
        <v>12632.242719370119</v>
      </c>
      <c r="O63" s="778"/>
      <c r="P63" s="778"/>
      <c r="Q63" s="778"/>
    </row>
    <row r="64" spans="1:17" x14ac:dyDescent="0.35">
      <c r="A64" s="269"/>
      <c r="B64" s="221"/>
      <c r="C64" s="222"/>
      <c r="D64" s="523"/>
      <c r="E64" s="606"/>
      <c r="F64" s="380"/>
      <c r="G64" s="228"/>
      <c r="H64" s="229"/>
      <c r="I64" s="562"/>
      <c r="J64" s="271"/>
      <c r="K64" s="416"/>
      <c r="L64" s="417"/>
      <c r="M64" s="417"/>
      <c r="N64" s="781"/>
      <c r="O64" s="778"/>
      <c r="P64" s="778"/>
      <c r="Q64" s="778"/>
    </row>
    <row r="65" spans="1:17" ht="25" x14ac:dyDescent="0.35">
      <c r="A65" s="269"/>
      <c r="B65" s="830" t="str">
        <f>'New Conn'!B1005</f>
        <v>2.13  Additional  Meters Urban Area:  1x 3ph  Split pre-paid meter connection- limited up to 500kVA, LV per Erf. If more than one (1) meter is required, a cost estimate will be done.</v>
      </c>
      <c r="C65" s="222" t="str">
        <f>'New Conn'!H1005</f>
        <v xml:space="preserve">  [Urban area]</v>
      </c>
      <c r="D65" s="523">
        <f>'New Conn'!H1031</f>
        <v>3330</v>
      </c>
      <c r="E65" s="606">
        <f t="shared" si="0"/>
        <v>3829.4999999999995</v>
      </c>
      <c r="F65" s="380">
        <f>'New Conn'!I1031</f>
        <v>3330</v>
      </c>
      <c r="G65" s="228">
        <f t="shared" si="1"/>
        <v>-0.13043478260869554</v>
      </c>
      <c r="H65" s="229">
        <f t="shared" si="2"/>
        <v>499.5</v>
      </c>
      <c r="I65" s="562">
        <f t="shared" si="3"/>
        <v>3829.5</v>
      </c>
      <c r="J65" s="271">
        <v>9100033030457</v>
      </c>
      <c r="K65" s="416">
        <f>+$I65*(1+'Unit tariffs'!$F$2)</f>
        <v>4047.7814999999996</v>
      </c>
      <c r="L65" s="417">
        <f>+$K65*(1+'Unit tariffs'!$F$2)</f>
        <v>4278.5050454999991</v>
      </c>
      <c r="M65" s="417">
        <f>+$L65*(1+'Unit tariffs'!$F$2)</f>
        <v>4522.3798330934987</v>
      </c>
      <c r="N65" s="781">
        <f>+$M65*(1+'Unit tariffs'!$F$2)</f>
        <v>4780.1554835798279</v>
      </c>
      <c r="O65" s="778"/>
      <c r="P65" s="778"/>
      <c r="Q65" s="778"/>
    </row>
    <row r="66" spans="1:17" x14ac:dyDescent="0.35">
      <c r="A66" s="269"/>
      <c r="B66" s="221"/>
      <c r="C66" s="222"/>
      <c r="D66" s="523"/>
      <c r="E66" s="606"/>
      <c r="F66" s="380"/>
      <c r="G66" s="228"/>
      <c r="H66" s="229"/>
      <c r="I66" s="562"/>
      <c r="J66" s="271"/>
      <c r="K66" s="416"/>
      <c r="L66" s="417"/>
      <c r="M66" s="417"/>
      <c r="N66" s="781"/>
      <c r="O66" s="778"/>
      <c r="P66" s="778"/>
      <c r="Q66" s="778"/>
    </row>
    <row r="67" spans="1:17" ht="25" x14ac:dyDescent="0.35">
      <c r="A67" s="269"/>
      <c r="B67" s="830" t="str">
        <f>'New Conn'!B1039</f>
        <v>2.14  Additional  Meters Peri-Urban Area:  1x 3ph  Split pre-paid meter connection- limited up to 200kVA, LV per Erf. If more than one (1) meter is required, a cost estimate will be done.</v>
      </c>
      <c r="C67" s="222" t="str">
        <f>'New Conn'!H1039</f>
        <v xml:space="preserve">  [Peri - urban area]</v>
      </c>
      <c r="D67" s="523">
        <f>'New Conn'!H1065</f>
        <v>3330</v>
      </c>
      <c r="E67" s="606">
        <f t="shared" si="0"/>
        <v>3829.4999999999995</v>
      </c>
      <c r="F67" s="380">
        <f>'New Conn'!I1065</f>
        <v>3330</v>
      </c>
      <c r="G67" s="228">
        <f t="shared" si="1"/>
        <v>-0.13043478260869554</v>
      </c>
      <c r="H67" s="229">
        <f t="shared" si="2"/>
        <v>499.5</v>
      </c>
      <c r="I67" s="562">
        <f t="shared" si="3"/>
        <v>3829.5</v>
      </c>
      <c r="J67" s="271">
        <v>9100033030459</v>
      </c>
      <c r="K67" s="416">
        <f>+$I67*(1+'Unit tariffs'!$F$2)</f>
        <v>4047.7814999999996</v>
      </c>
      <c r="L67" s="417">
        <f>+$K67*(1+'Unit tariffs'!$F$2)</f>
        <v>4278.5050454999991</v>
      </c>
      <c r="M67" s="417">
        <f>+$L67*(1+'Unit tariffs'!$F$2)</f>
        <v>4522.3798330934987</v>
      </c>
      <c r="N67" s="781">
        <f>+$M67*(1+'Unit tariffs'!$F$2)</f>
        <v>4780.1554835798279</v>
      </c>
      <c r="O67" s="778"/>
      <c r="P67" s="778"/>
      <c r="Q67" s="778"/>
    </row>
    <row r="68" spans="1:17" x14ac:dyDescent="0.35">
      <c r="A68" s="269"/>
      <c r="B68" s="221"/>
      <c r="C68" s="222"/>
      <c r="D68" s="523"/>
      <c r="E68" s="606"/>
      <c r="F68" s="380"/>
      <c r="G68" s="228"/>
      <c r="H68" s="229"/>
      <c r="I68" s="562"/>
      <c r="J68" s="271"/>
      <c r="K68" s="416"/>
      <c r="L68" s="417"/>
      <c r="M68" s="417"/>
      <c r="N68" s="781"/>
      <c r="O68" s="778"/>
      <c r="P68" s="778"/>
      <c r="Q68" s="778"/>
    </row>
    <row r="69" spans="1:17" ht="37.5" x14ac:dyDescent="0.35">
      <c r="A69" s="269"/>
      <c r="B69" s="830" t="str">
        <f>'New Conn'!B1072</f>
        <v>2.15 Three phase domestic connection (80A) in meter box,  Time of use (TOU) meter :  Connection in meter box placed on stand boundary (Connection to an erf, where the development costs has NOT been paid).</v>
      </c>
      <c r="C69" s="222" t="str">
        <f>'New Conn'!H1072</f>
        <v xml:space="preserve"> [Mangaung - Peri urban]</v>
      </c>
      <c r="D69" s="523">
        <f>'New Conn'!H1104</f>
        <v>41290</v>
      </c>
      <c r="E69" s="606">
        <f t="shared" si="0"/>
        <v>47483.499999999993</v>
      </c>
      <c r="F69" s="380">
        <f>'New Conn'!I1104</f>
        <v>41290</v>
      </c>
      <c r="G69" s="228">
        <f t="shared" si="1"/>
        <v>-0.13043478260869551</v>
      </c>
      <c r="H69" s="229">
        <f t="shared" si="2"/>
        <v>6193.5</v>
      </c>
      <c r="I69" s="562">
        <f t="shared" si="3"/>
        <v>47483.5</v>
      </c>
      <c r="J69" s="271">
        <v>9100033030461</v>
      </c>
      <c r="K69" s="416">
        <f>+$I69*(1+'Unit tariffs'!$F$2)</f>
        <v>50190.059499999996</v>
      </c>
      <c r="L69" s="417">
        <f>+$K69*(1+'Unit tariffs'!$F$2)</f>
        <v>53050.892891499992</v>
      </c>
      <c r="M69" s="417">
        <f>+$L69*(1+'Unit tariffs'!$F$2)</f>
        <v>56074.793786315488</v>
      </c>
      <c r="N69" s="781">
        <f>+$M69*(1+'Unit tariffs'!$F$2)</f>
        <v>59271.057032135468</v>
      </c>
      <c r="O69" s="778"/>
      <c r="P69" s="778"/>
      <c r="Q69" s="778"/>
    </row>
    <row r="70" spans="1:17" x14ac:dyDescent="0.35">
      <c r="A70" s="269"/>
      <c r="B70" s="221"/>
      <c r="C70" s="222"/>
      <c r="D70" s="523"/>
      <c r="E70" s="606"/>
      <c r="F70" s="380"/>
      <c r="G70" s="228"/>
      <c r="H70" s="229"/>
      <c r="I70" s="562"/>
      <c r="J70" s="271"/>
      <c r="K70" s="416"/>
      <c r="L70" s="417"/>
      <c r="M70" s="417"/>
      <c r="N70" s="781"/>
      <c r="O70" s="778"/>
      <c r="P70" s="778"/>
      <c r="Q70" s="778"/>
    </row>
    <row r="71" spans="1:17" ht="37.5" x14ac:dyDescent="0.35">
      <c r="A71" s="269"/>
      <c r="B71" s="830" t="str">
        <f>'New Conn'!B1110</f>
        <v xml:space="preserve">2.16 Three phase domestic connection (80A) in meter box,  Time of use (TOU) meter :  Connection in meter box placed on stand boundary  (Connection to an erf, where the development costs has NOT been paid) .                                 </v>
      </c>
      <c r="C71" s="222" t="str">
        <f>'New Conn'!H1110</f>
        <v xml:space="preserve">  [Regional - Peri urban]</v>
      </c>
      <c r="D71" s="523">
        <f>'New Conn'!H1137</f>
        <v>18740</v>
      </c>
      <c r="E71" s="606">
        <f t="shared" si="0"/>
        <v>21551</v>
      </c>
      <c r="F71" s="380">
        <f>'New Conn'!I1137</f>
        <v>17660</v>
      </c>
      <c r="G71" s="228">
        <f t="shared" si="1"/>
        <v>-0.180548466428472</v>
      </c>
      <c r="H71" s="229">
        <f t="shared" si="2"/>
        <v>2649</v>
      </c>
      <c r="I71" s="562">
        <f t="shared" si="3"/>
        <v>20309</v>
      </c>
      <c r="J71" s="271">
        <v>9100033030463</v>
      </c>
      <c r="K71" s="416">
        <f>+$I71*(1+'Unit tariffs'!$F$2)</f>
        <v>21466.612999999998</v>
      </c>
      <c r="L71" s="417">
        <f>+$K71*(1+'Unit tariffs'!$F$2)</f>
        <v>22690.209940999997</v>
      </c>
      <c r="M71" s="417">
        <f>+$L71*(1+'Unit tariffs'!$F$2)</f>
        <v>23983.551907636996</v>
      </c>
      <c r="N71" s="781">
        <f>+$M71*(1+'Unit tariffs'!$F$2)</f>
        <v>25350.614366372305</v>
      </c>
      <c r="O71" s="778"/>
      <c r="P71" s="778"/>
      <c r="Q71" s="778"/>
    </row>
    <row r="72" spans="1:17" x14ac:dyDescent="0.35">
      <c r="A72" s="269"/>
      <c r="B72" s="221"/>
      <c r="C72" s="222"/>
      <c r="D72" s="523"/>
      <c r="E72" s="606"/>
      <c r="F72" s="380"/>
      <c r="G72" s="228"/>
      <c r="H72" s="229"/>
      <c r="I72" s="562"/>
      <c r="J72" s="271"/>
      <c r="K72" s="416"/>
      <c r="L72" s="417"/>
      <c r="M72" s="417"/>
      <c r="N72" s="781"/>
      <c r="O72" s="778"/>
      <c r="P72" s="778"/>
      <c r="Q72" s="778"/>
    </row>
    <row r="73" spans="1:17" ht="37.5" x14ac:dyDescent="0.35">
      <c r="A73" s="269"/>
      <c r="B73" s="830" t="str">
        <f>'New Conn'!B1145</f>
        <v>2.17 SSEG Three phase domestic connection (80A) in meter box,  Time of use (TOU) meter :  Connection in meter box placed on stand boundary . (Connection to an erf, where the development costs has NOT been paid).</v>
      </c>
      <c r="C73" s="222" t="str">
        <f>'New Conn'!H1145</f>
        <v xml:space="preserve"> [Mangaung - Peri urban]</v>
      </c>
      <c r="D73" s="523">
        <f>'New Conn'!H1179</f>
        <v>41290</v>
      </c>
      <c r="E73" s="606">
        <f t="shared" si="0"/>
        <v>47483.499999999993</v>
      </c>
      <c r="F73" s="380">
        <f>'New Conn'!I1179</f>
        <v>41290</v>
      </c>
      <c r="G73" s="228">
        <f t="shared" si="1"/>
        <v>-0.13043478260869551</v>
      </c>
      <c r="H73" s="229">
        <f t="shared" si="2"/>
        <v>6193.5</v>
      </c>
      <c r="I73" s="562">
        <f t="shared" si="3"/>
        <v>47483.5</v>
      </c>
      <c r="J73" s="271">
        <v>9100033030465</v>
      </c>
      <c r="K73" s="416">
        <f>+$I73*(1+'Unit tariffs'!$F$2)</f>
        <v>50190.059499999996</v>
      </c>
      <c r="L73" s="417">
        <f>+$K73*(1+'Unit tariffs'!$F$2)</f>
        <v>53050.892891499992</v>
      </c>
      <c r="M73" s="417">
        <f>+$L73*(1+'Unit tariffs'!$F$2)</f>
        <v>56074.793786315488</v>
      </c>
      <c r="N73" s="781">
        <f>+$M73*(1+'Unit tariffs'!$F$2)</f>
        <v>59271.057032135468</v>
      </c>
      <c r="O73" s="778"/>
      <c r="P73" s="778"/>
      <c r="Q73" s="778"/>
    </row>
    <row r="74" spans="1:17" x14ac:dyDescent="0.35">
      <c r="A74" s="269"/>
      <c r="B74" s="221"/>
      <c r="C74" s="222"/>
      <c r="D74" s="523"/>
      <c r="E74" s="606"/>
      <c r="F74" s="380"/>
      <c r="G74" s="228"/>
      <c r="H74" s="229"/>
      <c r="I74" s="562"/>
      <c r="J74" s="271"/>
      <c r="K74" s="416"/>
      <c r="L74" s="417"/>
      <c r="M74" s="417"/>
      <c r="N74" s="781"/>
      <c r="O74" s="778"/>
      <c r="P74" s="778"/>
      <c r="Q74" s="778"/>
    </row>
    <row r="75" spans="1:17" ht="37.5" x14ac:dyDescent="0.35">
      <c r="A75" s="269"/>
      <c r="B75" s="830" t="str">
        <f>'New Conn'!B1185</f>
        <v xml:space="preserve">2.18 SSEG Three phase domestic connection (80A) in meter box,  Time of use (TOU) meter :  Connection in meter box placed on stand boundary taken from (Connection to an erf, where the development costs has NOT been paid).                                    </v>
      </c>
      <c r="C75" s="222" t="str">
        <f>'New Conn'!H1185</f>
        <v xml:space="preserve">  [Regional -  Peri urban area]</v>
      </c>
      <c r="D75" s="523">
        <f>'New Conn'!H1212</f>
        <v>18740</v>
      </c>
      <c r="E75" s="606">
        <f t="shared" si="0"/>
        <v>21551</v>
      </c>
      <c r="F75" s="380">
        <f>'New Conn'!I1212</f>
        <v>17660</v>
      </c>
      <c r="G75" s="228">
        <f t="shared" si="1"/>
        <v>-0.180548466428472</v>
      </c>
      <c r="H75" s="229">
        <f t="shared" si="2"/>
        <v>2649</v>
      </c>
      <c r="I75" s="562">
        <f t="shared" si="3"/>
        <v>20309</v>
      </c>
      <c r="J75" s="271">
        <v>9100033030467</v>
      </c>
      <c r="K75" s="416">
        <f>+$I75*(1+'Unit tariffs'!$F$2)</f>
        <v>21466.612999999998</v>
      </c>
      <c r="L75" s="417">
        <f>+$K75*(1+'Unit tariffs'!$F$2)</f>
        <v>22690.209940999997</v>
      </c>
      <c r="M75" s="417">
        <f>+$L75*(1+'Unit tariffs'!$F$2)</f>
        <v>23983.551907636996</v>
      </c>
      <c r="N75" s="781">
        <f>+$M75*(1+'Unit tariffs'!$F$2)</f>
        <v>25350.614366372305</v>
      </c>
      <c r="O75" s="778"/>
      <c r="P75" s="778"/>
      <c r="Q75" s="778"/>
    </row>
    <row r="76" spans="1:17" x14ac:dyDescent="0.35">
      <c r="A76" s="269"/>
      <c r="B76" s="221"/>
      <c r="C76" s="222"/>
      <c r="D76" s="523"/>
      <c r="E76" s="606"/>
      <c r="F76" s="380"/>
      <c r="G76" s="228"/>
      <c r="H76" s="229"/>
      <c r="I76" s="562"/>
      <c r="J76" s="271"/>
      <c r="K76" s="416"/>
      <c r="L76" s="417"/>
      <c r="M76" s="417"/>
      <c r="N76" s="781"/>
      <c r="O76" s="778"/>
      <c r="P76" s="778"/>
      <c r="Q76" s="778"/>
    </row>
    <row r="77" spans="1:17" ht="26" x14ac:dyDescent="0.35">
      <c r="A77" s="269"/>
      <c r="B77" s="706" t="str">
        <f>'New Conn'!B1217</f>
        <v>2.19 Three phase domestic connection in meter box, Split pre-payment meter (Connection to an erf, where the development costs has NOT been paid)</v>
      </c>
      <c r="C77" s="222" t="str">
        <f>'New Conn'!H1217</f>
        <v xml:space="preserve">  [Mangaung - Peri urban]</v>
      </c>
      <c r="D77" s="523">
        <f>'New Conn'!H1252</f>
        <v>44500</v>
      </c>
      <c r="E77" s="606">
        <f t="shared" ref="E77:E138" si="4">D77*1.15</f>
        <v>51174.999999999993</v>
      </c>
      <c r="F77" s="380">
        <f>'New Conn'!I1252</f>
        <v>44500</v>
      </c>
      <c r="G77" s="228">
        <f t="shared" si="1"/>
        <v>-0.13043478260869554</v>
      </c>
      <c r="H77" s="229">
        <f t="shared" si="2"/>
        <v>6675</v>
      </c>
      <c r="I77" s="562">
        <f t="shared" si="3"/>
        <v>51175</v>
      </c>
      <c r="J77" s="271">
        <v>9100033030469</v>
      </c>
      <c r="K77" s="416">
        <f>+$I77*(1+'Unit tariffs'!$F$2)</f>
        <v>54091.974999999999</v>
      </c>
      <c r="L77" s="417">
        <f>+$K77*(1+'Unit tariffs'!$F$2)</f>
        <v>57175.217574999995</v>
      </c>
      <c r="M77" s="417">
        <f>+$L77*(1+'Unit tariffs'!$F$2)</f>
        <v>60434.204976774992</v>
      </c>
      <c r="N77" s="781">
        <f>+$M77*(1+'Unit tariffs'!$F$2)</f>
        <v>63878.954660451163</v>
      </c>
      <c r="O77" s="778"/>
      <c r="P77" s="778"/>
      <c r="Q77" s="778"/>
    </row>
    <row r="78" spans="1:17" x14ac:dyDescent="0.35">
      <c r="A78" s="269"/>
      <c r="B78" s="221"/>
      <c r="C78" s="222"/>
      <c r="D78" s="523"/>
      <c r="E78" s="606"/>
      <c r="F78" s="380"/>
      <c r="G78" s="228"/>
      <c r="H78" s="229"/>
      <c r="I78" s="562"/>
      <c r="J78" s="271"/>
      <c r="K78" s="416"/>
      <c r="L78" s="417"/>
      <c r="M78" s="417"/>
      <c r="N78" s="781"/>
      <c r="O78" s="778"/>
      <c r="P78" s="778"/>
      <c r="Q78" s="778"/>
    </row>
    <row r="79" spans="1:17" ht="25" x14ac:dyDescent="0.35">
      <c r="A79" s="269"/>
      <c r="B79" s="830" t="str">
        <f>'New Conn'!B1259</f>
        <v>2.20 Three phase domestic connection in meter box, Split pre-payment meter. (Connection to an erf, where the development costs has NOT been paid)</v>
      </c>
      <c r="C79" s="222" t="str">
        <f>'New Conn'!H1259</f>
        <v xml:space="preserve">  [Regional - Peri urban]</v>
      </c>
      <c r="D79" s="523">
        <f>'New Conn'!H1290</f>
        <v>32650</v>
      </c>
      <c r="E79" s="606">
        <f t="shared" si="4"/>
        <v>37547.5</v>
      </c>
      <c r="F79" s="380">
        <f>'New Conn'!I1290</f>
        <v>32650</v>
      </c>
      <c r="G79" s="228">
        <f t="shared" si="1"/>
        <v>-0.13043478260869565</v>
      </c>
      <c r="H79" s="229">
        <f t="shared" si="2"/>
        <v>4897.5</v>
      </c>
      <c r="I79" s="562">
        <f t="shared" si="3"/>
        <v>37547.5</v>
      </c>
      <c r="J79" s="271">
        <v>9100033030471</v>
      </c>
      <c r="K79" s="416">
        <f>+$I79*(1+'Unit tariffs'!$F$2)</f>
        <v>39687.707499999997</v>
      </c>
      <c r="L79" s="417">
        <f>+$K79*(1+'Unit tariffs'!$F$2)</f>
        <v>41949.906827499995</v>
      </c>
      <c r="M79" s="417">
        <f>+$L79*(1+'Unit tariffs'!$F$2)</f>
        <v>44341.051516667496</v>
      </c>
      <c r="N79" s="781">
        <f>+$M79*(1+'Unit tariffs'!$F$2)</f>
        <v>46868.491453117538</v>
      </c>
      <c r="O79" s="778"/>
      <c r="P79" s="778"/>
      <c r="Q79" s="778"/>
    </row>
    <row r="80" spans="1:17" x14ac:dyDescent="0.35">
      <c r="A80" s="269"/>
      <c r="B80" s="221"/>
      <c r="C80" s="222"/>
      <c r="D80" s="523"/>
      <c r="E80" s="606"/>
      <c r="F80" s="380"/>
      <c r="G80" s="228"/>
      <c r="H80" s="229"/>
      <c r="I80" s="562"/>
      <c r="J80" s="271"/>
      <c r="K80" s="416"/>
      <c r="L80" s="417"/>
      <c r="M80" s="417"/>
      <c r="N80" s="781"/>
      <c r="O80" s="778"/>
      <c r="P80" s="778"/>
      <c r="Q80" s="778"/>
    </row>
    <row r="81" spans="1:17" ht="37.5" x14ac:dyDescent="0.35">
      <c r="A81" s="269"/>
      <c r="B81" s="830" t="str">
        <f>'New Conn'!B1293</f>
        <v>2.21 Three phase domestic connection (80A) in meter box,  Time of use (TOU) meter :  Connection in meter box placed on stand boundary (Connection to an erf, where the development costs has been paid [5kVA]).</v>
      </c>
      <c r="C81" s="222" t="str">
        <f>'New Conn'!H1293</f>
        <v xml:space="preserve"> [Mangaung - Peri urban]</v>
      </c>
      <c r="D81" s="523">
        <f>'New Conn'!H1327</f>
        <v>15850</v>
      </c>
      <c r="E81" s="606">
        <f t="shared" si="4"/>
        <v>18227.5</v>
      </c>
      <c r="F81" s="380">
        <f>'New Conn'!I1327</f>
        <v>15850</v>
      </c>
      <c r="G81" s="228">
        <f t="shared" si="1"/>
        <v>-0.13043478260869565</v>
      </c>
      <c r="H81" s="229">
        <f t="shared" si="2"/>
        <v>2377.5</v>
      </c>
      <c r="I81" s="562">
        <f t="shared" si="3"/>
        <v>18227.5</v>
      </c>
      <c r="J81" s="271">
        <v>9100033030473</v>
      </c>
      <c r="K81" s="416">
        <f>+$I81*(1+'Unit tariffs'!$F$2)</f>
        <v>19266.467499999999</v>
      </c>
      <c r="L81" s="417">
        <f>+$K81*(1+'Unit tariffs'!$F$2)</f>
        <v>20364.656147499998</v>
      </c>
      <c r="M81" s="417">
        <f>+$L81*(1+'Unit tariffs'!$F$2)</f>
        <v>21525.441547907496</v>
      </c>
      <c r="N81" s="781">
        <f>+$M81*(1+'Unit tariffs'!$F$2)</f>
        <v>22752.391716138223</v>
      </c>
      <c r="O81" s="778"/>
      <c r="P81" s="778"/>
      <c r="Q81" s="778"/>
    </row>
    <row r="82" spans="1:17" x14ac:dyDescent="0.35">
      <c r="A82" s="269"/>
      <c r="B82" s="221"/>
      <c r="C82" s="222"/>
      <c r="D82" s="523"/>
      <c r="E82" s="606"/>
      <c r="F82" s="380"/>
      <c r="G82" s="228"/>
      <c r="H82" s="229"/>
      <c r="I82" s="562"/>
      <c r="J82" s="271"/>
      <c r="K82" s="416"/>
      <c r="L82" s="417"/>
      <c r="M82" s="417"/>
      <c r="N82" s="781"/>
      <c r="O82" s="778"/>
      <c r="P82" s="778"/>
      <c r="Q82" s="778"/>
    </row>
    <row r="83" spans="1:17" ht="37.5" x14ac:dyDescent="0.35">
      <c r="A83" s="269"/>
      <c r="B83" s="830" t="str">
        <f>'New Conn'!B1333</f>
        <v xml:space="preserve">2.22 Three phase domestic connection (80A) in meter box,  Time of use (TOU) meter :  Connection in meter box placed on stand boundary  (Connection to an erf, where the development costs has been paid [5kVA]).                                 </v>
      </c>
      <c r="C83" s="222" t="str">
        <f>'New Conn'!H1333</f>
        <v xml:space="preserve">  [Regional - Peri urban]</v>
      </c>
      <c r="D83" s="523">
        <f>'New Conn'!H1360</f>
        <v>13070</v>
      </c>
      <c r="E83" s="606">
        <f t="shared" si="4"/>
        <v>15030.499999999998</v>
      </c>
      <c r="F83" s="380">
        <f>'New Conn'!I1360</f>
        <v>11990</v>
      </c>
      <c r="G83" s="228">
        <f t="shared" si="1"/>
        <v>-0.20228867968464112</v>
      </c>
      <c r="H83" s="229">
        <f t="shared" si="2"/>
        <v>1798.5</v>
      </c>
      <c r="I83" s="562">
        <f t="shared" si="3"/>
        <v>13788.5</v>
      </c>
      <c r="J83" s="271">
        <v>9100033030475</v>
      </c>
      <c r="K83" s="416">
        <f>+$I83*(1+'Unit tariffs'!$F$2)</f>
        <v>14574.4445</v>
      </c>
      <c r="L83" s="417">
        <f>+$K83*(1+'Unit tariffs'!$F$2)</f>
        <v>15405.187836499999</v>
      </c>
      <c r="M83" s="417">
        <f>+$L83*(1+'Unit tariffs'!$F$2)</f>
        <v>16283.283543180498</v>
      </c>
      <c r="N83" s="781">
        <f>+$M83*(1+'Unit tariffs'!$F$2)</f>
        <v>17211.430705141785</v>
      </c>
      <c r="O83" s="778"/>
      <c r="P83" s="778"/>
      <c r="Q83" s="778"/>
    </row>
    <row r="84" spans="1:17" x14ac:dyDescent="0.35">
      <c r="A84" s="269"/>
      <c r="B84" s="221"/>
      <c r="C84" s="222"/>
      <c r="D84" s="523"/>
      <c r="E84" s="606"/>
      <c r="F84" s="380"/>
      <c r="G84" s="228"/>
      <c r="H84" s="229"/>
      <c r="I84" s="562"/>
      <c r="J84" s="271"/>
      <c r="K84" s="416"/>
      <c r="L84" s="417"/>
      <c r="M84" s="417"/>
      <c r="N84" s="781"/>
      <c r="O84" s="778"/>
      <c r="P84" s="778"/>
      <c r="Q84" s="778"/>
    </row>
    <row r="85" spans="1:17" ht="37.5" x14ac:dyDescent="0.35">
      <c r="A85" s="269"/>
      <c r="B85" s="830" t="str">
        <f>'New Conn'!B1368</f>
        <v>2.23 SSEG Three phase domestic connection (80A) in meter box,  Time of use (TOU) meter :  Connection in meter box placed on stand boundary . (Connection to an erf, where the development costs has been paid [5kVA]).</v>
      </c>
      <c r="C85" s="222" t="str">
        <f>'New Conn'!H1368</f>
        <v xml:space="preserve"> [Mangaung - Peri urban]</v>
      </c>
      <c r="D85" s="523">
        <f>'New Conn'!H1402</f>
        <v>15850</v>
      </c>
      <c r="E85" s="606">
        <f t="shared" si="4"/>
        <v>18227.5</v>
      </c>
      <c r="F85" s="380">
        <f>'New Conn'!I1402</f>
        <v>15850</v>
      </c>
      <c r="G85" s="228">
        <f t="shared" si="1"/>
        <v>-0.13043478260869565</v>
      </c>
      <c r="H85" s="229">
        <f t="shared" si="2"/>
        <v>2377.5</v>
      </c>
      <c r="I85" s="562">
        <f t="shared" si="3"/>
        <v>18227.5</v>
      </c>
      <c r="J85" s="271">
        <v>9100033030477</v>
      </c>
      <c r="K85" s="416">
        <f>+$I85*(1+'Unit tariffs'!$F$2)</f>
        <v>19266.467499999999</v>
      </c>
      <c r="L85" s="417">
        <f>+$K85*(1+'Unit tariffs'!$F$2)</f>
        <v>20364.656147499998</v>
      </c>
      <c r="M85" s="417">
        <f>+$L85*(1+'Unit tariffs'!$F$2)</f>
        <v>21525.441547907496</v>
      </c>
      <c r="N85" s="781">
        <f>+$M85*(1+'Unit tariffs'!$F$2)</f>
        <v>22752.391716138223</v>
      </c>
      <c r="O85" s="778"/>
      <c r="P85" s="778"/>
      <c r="Q85" s="778"/>
    </row>
    <row r="86" spans="1:17" x14ac:dyDescent="0.35">
      <c r="A86" s="269"/>
      <c r="B86" s="221"/>
      <c r="C86" s="222"/>
      <c r="D86" s="523"/>
      <c r="E86" s="606"/>
      <c r="F86" s="380"/>
      <c r="G86" s="228"/>
      <c r="H86" s="229"/>
      <c r="I86" s="562"/>
      <c r="J86" s="271"/>
      <c r="K86" s="416"/>
      <c r="L86" s="417"/>
      <c r="M86" s="417"/>
      <c r="N86" s="781"/>
      <c r="O86" s="778"/>
      <c r="P86" s="778"/>
      <c r="Q86" s="778"/>
    </row>
    <row r="87" spans="1:17" ht="37.5" x14ac:dyDescent="0.35">
      <c r="A87" s="269"/>
      <c r="B87" s="830" t="str">
        <f>'New Conn'!B1408</f>
        <v xml:space="preserve">2.24 SSEG Three phase domestic connection (80A) in meter box,  Time of use (TOU) meter :  Connection in meter box placed on stand boundary taken from (Connection to an erf, where the development costs has been paid [5kVA]).                                    </v>
      </c>
      <c r="C87" s="222" t="str">
        <f>'New Conn'!H1408</f>
        <v xml:space="preserve">  [Regional -  Peri urban area]</v>
      </c>
      <c r="D87" s="523">
        <f>'New Conn'!H1435</f>
        <v>13070</v>
      </c>
      <c r="E87" s="606">
        <f t="shared" si="4"/>
        <v>15030.499999999998</v>
      </c>
      <c r="F87" s="380">
        <f>'New Conn'!I1435</f>
        <v>11990</v>
      </c>
      <c r="G87" s="228">
        <f t="shared" si="1"/>
        <v>-0.20228867968464112</v>
      </c>
      <c r="H87" s="229">
        <f t="shared" si="2"/>
        <v>1798.5</v>
      </c>
      <c r="I87" s="562">
        <f t="shared" si="3"/>
        <v>13788.5</v>
      </c>
      <c r="J87" s="271">
        <v>9100033030479</v>
      </c>
      <c r="K87" s="416">
        <f>+$I87*(1+'Unit tariffs'!$F$2)</f>
        <v>14574.4445</v>
      </c>
      <c r="L87" s="417">
        <f>+$K87*(1+'Unit tariffs'!$F$2)</f>
        <v>15405.187836499999</v>
      </c>
      <c r="M87" s="417">
        <f>+$L87*(1+'Unit tariffs'!$F$2)</f>
        <v>16283.283543180498</v>
      </c>
      <c r="N87" s="781">
        <f>+$M87*(1+'Unit tariffs'!$F$2)</f>
        <v>17211.430705141785</v>
      </c>
      <c r="O87" s="778"/>
      <c r="P87" s="778"/>
      <c r="Q87" s="778"/>
    </row>
    <row r="88" spans="1:17" x14ac:dyDescent="0.35">
      <c r="A88" s="269"/>
      <c r="B88" s="221"/>
      <c r="C88" s="222"/>
      <c r="D88" s="523"/>
      <c r="E88" s="606"/>
      <c r="F88" s="380"/>
      <c r="G88" s="228"/>
      <c r="H88" s="229"/>
      <c r="I88" s="562"/>
      <c r="J88" s="271"/>
      <c r="K88" s="416"/>
      <c r="L88" s="417"/>
      <c r="M88" s="417"/>
      <c r="N88" s="781"/>
      <c r="O88" s="778"/>
      <c r="P88" s="778"/>
      <c r="Q88" s="778"/>
    </row>
    <row r="89" spans="1:17" ht="25" x14ac:dyDescent="0.35">
      <c r="A89" s="269"/>
      <c r="B89" s="830" t="str">
        <f>'New Conn'!B1440</f>
        <v>2.25 Three phase domestic connection in meter box, Split pre-payment meter (Connection to an erf, where the development costs has been paid [5kVA]).</v>
      </c>
      <c r="C89" s="222" t="str">
        <f>'New Conn'!H1440</f>
        <v xml:space="preserve">  [Mangaung - Peri urban]</v>
      </c>
      <c r="D89" s="523">
        <f>'New Conn'!H1475</f>
        <v>19060</v>
      </c>
      <c r="E89" s="606">
        <f t="shared" si="4"/>
        <v>21919</v>
      </c>
      <c r="F89" s="380">
        <f>'New Conn'!I1475</f>
        <v>19060</v>
      </c>
      <c r="G89" s="228">
        <f t="shared" ref="G89:G147" si="5">(F89-E89)/E89</f>
        <v>-0.13043478260869565</v>
      </c>
      <c r="H89" s="229">
        <f t="shared" ref="H89:H147" si="6">F89*H$3</f>
        <v>2859</v>
      </c>
      <c r="I89" s="562">
        <f t="shared" ref="I89:I147" si="7">F89+H89</f>
        <v>21919</v>
      </c>
      <c r="J89" s="271">
        <v>9100033030481</v>
      </c>
      <c r="K89" s="416">
        <f>+$I89*(1+'Unit tariffs'!$F$2)</f>
        <v>23168.382999999998</v>
      </c>
      <c r="L89" s="417">
        <f>+$K89*(1+'Unit tariffs'!$F$2)</f>
        <v>24488.980830999997</v>
      </c>
      <c r="M89" s="417">
        <f>+$L89*(1+'Unit tariffs'!$F$2)</f>
        <v>25884.852738366997</v>
      </c>
      <c r="N89" s="781">
        <f>+$M89*(1+'Unit tariffs'!$F$2)</f>
        <v>27360.289344453915</v>
      </c>
      <c r="O89" s="778"/>
      <c r="P89" s="778"/>
      <c r="Q89" s="778"/>
    </row>
    <row r="90" spans="1:17" x14ac:dyDescent="0.35">
      <c r="A90" s="269"/>
      <c r="B90" s="221"/>
      <c r="C90" s="222"/>
      <c r="D90" s="523"/>
      <c r="E90" s="606"/>
      <c r="F90" s="380"/>
      <c r="G90" s="228"/>
      <c r="H90" s="229"/>
      <c r="I90" s="562"/>
      <c r="J90" s="271"/>
      <c r="K90" s="416"/>
      <c r="L90" s="417"/>
      <c r="M90" s="417"/>
      <c r="N90" s="781"/>
      <c r="O90" s="778"/>
      <c r="P90" s="778"/>
      <c r="Q90" s="778"/>
    </row>
    <row r="91" spans="1:17" ht="25" x14ac:dyDescent="0.35">
      <c r="A91" s="269"/>
      <c r="B91" s="830" t="str">
        <f>'New Conn'!B1482</f>
        <v>2.26 Three phase domestic connection in meter box, Split pre-payment meter. (Connection to an erf, where the development costs has been paid [5kVA]).</v>
      </c>
      <c r="C91" s="222" t="str">
        <f>'New Conn'!H1482</f>
        <v xml:space="preserve">  [Regional - Peri urban]</v>
      </c>
      <c r="D91" s="523">
        <f>'New Conn'!H1512</f>
        <v>11190</v>
      </c>
      <c r="E91" s="606">
        <f t="shared" si="4"/>
        <v>12868.499999999998</v>
      </c>
      <c r="F91" s="380">
        <f>'New Conn'!I1512</f>
        <v>11190</v>
      </c>
      <c r="G91" s="228">
        <f t="shared" si="5"/>
        <v>-0.13043478260869554</v>
      </c>
      <c r="H91" s="229">
        <f t="shared" si="6"/>
        <v>1678.5</v>
      </c>
      <c r="I91" s="562">
        <f t="shared" si="7"/>
        <v>12868.5</v>
      </c>
      <c r="J91" s="271">
        <v>9100033030483</v>
      </c>
      <c r="K91" s="416">
        <f>+$I91*(1+'Unit tariffs'!$F$2)</f>
        <v>13602.004499999999</v>
      </c>
      <c r="L91" s="417">
        <f>+$K91*(1+'Unit tariffs'!$F$2)</f>
        <v>14377.318756499999</v>
      </c>
      <c r="M91" s="417">
        <f>+$L91*(1+'Unit tariffs'!$F$2)</f>
        <v>15196.825925620498</v>
      </c>
      <c r="N91" s="781">
        <f>+$M91*(1+'Unit tariffs'!$F$2)</f>
        <v>16063.045003380867</v>
      </c>
      <c r="O91" s="778"/>
      <c r="P91" s="778"/>
      <c r="Q91" s="778"/>
    </row>
    <row r="92" spans="1:17" ht="15" thickBot="1" x14ac:dyDescent="0.4">
      <c r="A92" s="269"/>
      <c r="B92" s="221"/>
      <c r="C92" s="222"/>
      <c r="D92" s="523"/>
      <c r="E92" s="606"/>
      <c r="F92" s="380"/>
      <c r="G92" s="228"/>
      <c r="H92" s="229"/>
      <c r="I92" s="562"/>
      <c r="J92" s="271"/>
      <c r="K92" s="416"/>
      <c r="L92" s="417"/>
      <c r="M92" s="417"/>
      <c r="N92" s="781"/>
      <c r="O92" s="778"/>
      <c r="P92" s="778"/>
      <c r="Q92" s="778"/>
    </row>
    <row r="93" spans="1:17" ht="15.5" x14ac:dyDescent="0.35">
      <c r="A93" s="396"/>
      <c r="B93" s="262" t="str">
        <f>+B1</f>
        <v>CENTLEC : ELECTRICITY SERVICES COSTS FOR MANGAUNG METRO</v>
      </c>
      <c r="C93" s="263"/>
      <c r="D93" s="529"/>
      <c r="E93" s="606"/>
      <c r="F93" s="370" t="s">
        <v>74</v>
      </c>
      <c r="G93" s="228"/>
      <c r="H93" s="229"/>
      <c r="I93" s="562"/>
      <c r="J93" s="271"/>
      <c r="K93" s="416"/>
      <c r="L93" s="417"/>
      <c r="M93" s="417"/>
      <c r="N93" s="781"/>
      <c r="O93" s="778"/>
      <c r="P93" s="778"/>
      <c r="Q93" s="778"/>
    </row>
    <row r="94" spans="1:17" ht="15.5" x14ac:dyDescent="0.35">
      <c r="A94" s="396"/>
      <c r="B94" s="404"/>
      <c r="C94" s="304"/>
      <c r="D94" s="530"/>
      <c r="E94" s="606"/>
      <c r="F94" s="308" t="s">
        <v>318</v>
      </c>
      <c r="G94" s="228"/>
      <c r="H94" s="229"/>
      <c r="I94" s="562"/>
      <c r="J94" s="271"/>
      <c r="K94" s="416"/>
      <c r="L94" s="417"/>
      <c r="M94" s="417"/>
      <c r="N94" s="781"/>
      <c r="O94" s="778"/>
      <c r="P94" s="778"/>
      <c r="Q94" s="778"/>
    </row>
    <row r="95" spans="1:17" ht="15.5" x14ac:dyDescent="0.35">
      <c r="A95" s="396"/>
      <c r="B95" s="404" t="str">
        <f>'Temp Conn'!B2</f>
        <v xml:space="preserve">3. TEMPORARY CONNECTIONS - MAXIMUM PERIOD OF 12 MONTHS </v>
      </c>
      <c r="C95" s="226"/>
      <c r="D95" s="531"/>
      <c r="E95" s="606"/>
      <c r="F95" s="224"/>
      <c r="G95" s="228"/>
      <c r="H95" s="229"/>
      <c r="I95" s="562"/>
      <c r="J95" s="271"/>
      <c r="K95" s="416"/>
      <c r="L95" s="417"/>
      <c r="M95" s="417"/>
      <c r="N95" s="781"/>
      <c r="O95" s="778"/>
      <c r="P95" s="778"/>
      <c r="Q95" s="778"/>
    </row>
    <row r="96" spans="1:17" ht="26" x14ac:dyDescent="0.35">
      <c r="A96" s="269"/>
      <c r="B96" s="514" t="s">
        <v>623</v>
      </c>
      <c r="C96" s="222"/>
      <c r="D96" s="533"/>
      <c r="E96" s="606"/>
      <c r="F96" s="384"/>
      <c r="G96" s="228"/>
      <c r="H96" s="229"/>
      <c r="I96" s="562"/>
      <c r="J96" s="271"/>
      <c r="K96" s="416"/>
      <c r="L96" s="417"/>
      <c r="M96" s="417"/>
      <c r="N96" s="781"/>
      <c r="O96" s="779"/>
      <c r="P96" s="779"/>
      <c r="Q96" s="779"/>
    </row>
    <row r="97" spans="1:17" x14ac:dyDescent="0.35">
      <c r="A97" s="269"/>
      <c r="B97" s="221"/>
      <c r="C97" s="222"/>
      <c r="D97" s="521"/>
      <c r="E97" s="606"/>
      <c r="F97" s="379"/>
      <c r="G97" s="228"/>
      <c r="H97" s="229"/>
      <c r="I97" s="562"/>
      <c r="J97" s="271"/>
      <c r="K97" s="416"/>
      <c r="L97" s="417"/>
      <c r="M97" s="417"/>
      <c r="N97" s="781"/>
      <c r="O97" s="793"/>
      <c r="P97" s="779"/>
      <c r="Q97" s="779"/>
    </row>
    <row r="98" spans="1:17" x14ac:dyDescent="0.35">
      <c r="A98" s="269"/>
      <c r="B98" s="221" t="str">
        <f>'Temp Conn'!B2</f>
        <v xml:space="preserve">3. TEMPORARY CONNECTIONS - MAXIMUM PERIOD OF 12 MONTHS </v>
      </c>
      <c r="C98" s="222"/>
      <c r="D98" s="521"/>
      <c r="E98" s="606"/>
      <c r="F98" s="379"/>
      <c r="G98" s="228"/>
      <c r="H98" s="229"/>
      <c r="I98" s="562"/>
      <c r="J98" s="271"/>
      <c r="K98" s="416"/>
      <c r="L98" s="417"/>
      <c r="M98" s="417"/>
      <c r="N98" s="781"/>
      <c r="O98" s="778"/>
      <c r="P98" s="778"/>
      <c r="Q98" s="778"/>
    </row>
    <row r="99" spans="1:17" x14ac:dyDescent="0.35">
      <c r="A99" s="269"/>
      <c r="B99" s="221"/>
      <c r="C99" s="688"/>
      <c r="D99" s="521"/>
      <c r="E99" s="606"/>
      <c r="F99" s="380"/>
      <c r="G99" s="228"/>
      <c r="H99" s="229"/>
      <c r="I99" s="562"/>
      <c r="J99" s="271"/>
      <c r="K99" s="416"/>
      <c r="L99" s="417"/>
      <c r="M99" s="417"/>
      <c r="N99" s="781"/>
      <c r="O99" s="779"/>
      <c r="P99" s="779"/>
      <c r="Q99" s="779"/>
    </row>
    <row r="100" spans="1:17" ht="38.5" x14ac:dyDescent="0.35">
      <c r="A100" s="269"/>
      <c r="B100" s="221" t="str">
        <f>'Temp Conn'!B4</f>
        <v>3.1 Temporary BUILDERS underground connection - Three phase 80 Ampère Prepaid meter only.  Please note: These connections would only be permitted  for a maximum period of 12 months after which it will be removed by CENTLEC. (Where a trench is not longer than 12m)</v>
      </c>
      <c r="C100" s="688"/>
      <c r="D100" s="521">
        <f>'Temp Conn'!H42</f>
        <v>27870</v>
      </c>
      <c r="E100" s="606">
        <f t="shared" si="4"/>
        <v>32050.499999999996</v>
      </c>
      <c r="F100" s="380">
        <f>'Temp Conn'!I42</f>
        <v>30220</v>
      </c>
      <c r="G100" s="228">
        <f t="shared" si="5"/>
        <v>-5.7112993557042684E-2</v>
      </c>
      <c r="H100" s="229">
        <f t="shared" si="6"/>
        <v>4533</v>
      </c>
      <c r="I100" s="562">
        <f t="shared" si="7"/>
        <v>34753</v>
      </c>
      <c r="J100" s="271">
        <v>9100033030492</v>
      </c>
      <c r="K100" s="416">
        <f>+$I100*(1+'Unit tariffs'!$F$2)</f>
        <v>36733.920999999995</v>
      </c>
      <c r="L100" s="417">
        <f>+$K100*(1+'Unit tariffs'!$F$2)</f>
        <v>38827.754496999994</v>
      </c>
      <c r="M100" s="417">
        <f>+$L100*(1+'Unit tariffs'!$F$2)</f>
        <v>41040.936503328994</v>
      </c>
      <c r="N100" s="781">
        <f>+$M100*(1+'Unit tariffs'!$F$2)</f>
        <v>43380.269884018744</v>
      </c>
      <c r="O100" s="778"/>
      <c r="P100" s="778"/>
      <c r="Q100" s="778"/>
    </row>
    <row r="101" spans="1:17" x14ac:dyDescent="0.35">
      <c r="A101" s="269"/>
      <c r="B101" s="221"/>
      <c r="C101" s="222"/>
      <c r="D101" s="521"/>
      <c r="E101" s="606"/>
      <c r="F101" s="379"/>
      <c r="G101" s="228"/>
      <c r="H101" s="229"/>
      <c r="I101" s="562"/>
      <c r="J101" s="271"/>
      <c r="K101" s="416"/>
      <c r="L101" s="417"/>
      <c r="M101" s="417"/>
      <c r="N101" s="781"/>
      <c r="O101" s="778"/>
      <c r="P101" s="778"/>
      <c r="Q101" s="778"/>
    </row>
    <row r="102" spans="1:17" ht="39.5" x14ac:dyDescent="0.35">
      <c r="A102" s="269"/>
      <c r="B102" s="227" t="str">
        <f>'Temp Conn'!B50</f>
        <v xml:space="preserve">3.2 Temporary connection for a special events - These temporary connections would only be permitted for Municipality approved special short term events and it would be removed afterwards </v>
      </c>
      <c r="C102" s="222"/>
      <c r="D102" s="520"/>
      <c r="E102" s="606"/>
      <c r="F102" s="220"/>
      <c r="G102" s="228"/>
      <c r="H102" s="229"/>
      <c r="I102" s="562"/>
      <c r="J102" s="271"/>
      <c r="K102" s="416"/>
      <c r="L102" s="417"/>
      <c r="M102" s="417"/>
      <c r="N102" s="781"/>
      <c r="O102" s="778"/>
      <c r="P102" s="778"/>
      <c r="Q102" s="778"/>
    </row>
    <row r="103" spans="1:17" ht="28.5" customHeight="1" x14ac:dyDescent="0.35">
      <c r="A103" s="286"/>
      <c r="B103" s="836" t="str">
        <f>'Temp Conn'!B52</f>
        <v>3.2.1 Temporary connection for a special event - Single phase 80Ampère P/P with over head Airdac. Applicable where NO meter box is required -  Social, Cultural and community events. - Maximum 5 days Only. (Permit letter be attached from Municipality)</v>
      </c>
      <c r="C103" s="226"/>
      <c r="D103" s="521">
        <f>'Temp Conn'!H77</f>
        <v>12100</v>
      </c>
      <c r="E103" s="606">
        <f t="shared" si="4"/>
        <v>13914.999999999998</v>
      </c>
      <c r="F103" s="379">
        <f>'Temp Conn'!I77</f>
        <v>4500</v>
      </c>
      <c r="G103" s="228">
        <f t="shared" si="5"/>
        <v>-0.67660797700323383</v>
      </c>
      <c r="H103" s="229">
        <f t="shared" si="6"/>
        <v>675</v>
      </c>
      <c r="I103" s="562">
        <f t="shared" si="7"/>
        <v>5175</v>
      </c>
      <c r="J103" s="271">
        <v>9100033030495</v>
      </c>
      <c r="K103" s="416">
        <f>+$I103*(1+'Unit tariffs'!$F$2)</f>
        <v>5469.9749999999995</v>
      </c>
      <c r="L103" s="417">
        <f>+$K103*(1+'Unit tariffs'!$F$2)</f>
        <v>5781.763574999999</v>
      </c>
      <c r="M103" s="417">
        <f>+$L103*(1+'Unit tariffs'!$F$2)</f>
        <v>6111.3240987749987</v>
      </c>
      <c r="N103" s="781">
        <f>+$M103*(1+'Unit tariffs'!$F$2)</f>
        <v>6459.6695724051733</v>
      </c>
      <c r="O103" s="778"/>
      <c r="P103" s="778"/>
      <c r="Q103" s="778"/>
    </row>
    <row r="104" spans="1:17" ht="44.25" customHeight="1" x14ac:dyDescent="0.35">
      <c r="A104" s="269"/>
      <c r="B104" s="830" t="str">
        <f>'Temp Conn'!B83</f>
        <v>3.2.2 Temporary connection for a special event - Three phase 80Ampère P/P with over head Airdac. Applicable where NO meter box is required -  Social, Cultural and community events.  - Maximum 5 days Only. (Permit letter be attached from Municipality)</v>
      </c>
      <c r="C104" s="222"/>
      <c r="D104" s="521">
        <f>'Temp Conn'!H108</f>
        <v>12100</v>
      </c>
      <c r="E104" s="606">
        <f t="shared" si="4"/>
        <v>13914.999999999998</v>
      </c>
      <c r="F104" s="379">
        <f>'Temp Conn'!I108</f>
        <v>3190</v>
      </c>
      <c r="G104" s="228">
        <f t="shared" si="5"/>
        <v>-0.77075098814229248</v>
      </c>
      <c r="H104" s="229">
        <f t="shared" si="6"/>
        <v>478.5</v>
      </c>
      <c r="I104" s="562">
        <f t="shared" si="7"/>
        <v>3668.5</v>
      </c>
      <c r="J104" s="271">
        <v>9100033030496</v>
      </c>
      <c r="K104" s="416">
        <f>+$I104*(1+'Unit tariffs'!$F$2)</f>
        <v>3877.6044999999999</v>
      </c>
      <c r="L104" s="417">
        <f>+$K104*(1+'Unit tariffs'!$F$2)</f>
        <v>4098.6279564999995</v>
      </c>
      <c r="M104" s="417">
        <f>+$L104*(1+'Unit tariffs'!$F$2)</f>
        <v>4332.2497500204991</v>
      </c>
      <c r="N104" s="781">
        <f>+$M104*(1+'Unit tariffs'!$F$2)</f>
        <v>4579.1879857716676</v>
      </c>
      <c r="O104" s="779"/>
      <c r="P104" s="779"/>
      <c r="Q104" s="779"/>
    </row>
    <row r="105" spans="1:17" x14ac:dyDescent="0.35">
      <c r="A105" s="269"/>
      <c r="B105" s="830"/>
      <c r="C105" s="222"/>
      <c r="D105" s="521"/>
      <c r="E105" s="606"/>
      <c r="F105" s="379"/>
      <c r="G105" s="228"/>
      <c r="H105" s="229"/>
      <c r="I105" s="562"/>
      <c r="J105" s="271"/>
      <c r="K105" s="416"/>
      <c r="L105" s="417"/>
      <c r="M105" s="417"/>
      <c r="N105" s="781"/>
      <c r="O105" s="779"/>
      <c r="P105" s="779"/>
      <c r="Q105" s="779"/>
    </row>
    <row r="106" spans="1:17" ht="50" x14ac:dyDescent="0.35">
      <c r="A106" s="269"/>
      <c r="B106" s="830" t="str">
        <f>'Temp Conn'!B115</f>
        <v>3.3 Temporary connection for a special event - Single phase 80Ampère P/P- Temporary Church , temporary creches, temporary Car wash ect (where a trench is not longer than 12m) - Maximum 12 months Only. (Permit letter be attached from Municipality and only Subsidised Areas)</v>
      </c>
      <c r="C106" s="222"/>
      <c r="D106" s="521">
        <f>'Temp Conn'!H152</f>
        <v>38910</v>
      </c>
      <c r="E106" s="606">
        <f t="shared" si="4"/>
        <v>44746.5</v>
      </c>
      <c r="F106" s="379">
        <f>'Temp Conn'!I152</f>
        <v>16940</v>
      </c>
      <c r="G106" s="228">
        <f t="shared" si="5"/>
        <v>-0.62142290458471616</v>
      </c>
      <c r="H106" s="229">
        <f t="shared" si="6"/>
        <v>2541</v>
      </c>
      <c r="I106" s="562">
        <f t="shared" si="7"/>
        <v>19481</v>
      </c>
      <c r="J106" s="271">
        <v>9100033030498</v>
      </c>
      <c r="K106" s="416">
        <f>+$I106*(1+'Unit tariffs'!$F$2)</f>
        <v>20591.416999999998</v>
      </c>
      <c r="L106" s="417">
        <f>+$K106*(1+'Unit tariffs'!$F$2)</f>
        <v>21765.127768999995</v>
      </c>
      <c r="M106" s="417">
        <f>+$L106*(1+'Unit tariffs'!$F$2)</f>
        <v>23005.740051832992</v>
      </c>
      <c r="N106" s="781">
        <f>+$M106*(1+'Unit tariffs'!$F$2)</f>
        <v>24317.067234787472</v>
      </c>
      <c r="O106" s="778"/>
      <c r="P106" s="778"/>
      <c r="Q106" s="778"/>
    </row>
    <row r="107" spans="1:17" x14ac:dyDescent="0.35">
      <c r="A107" s="269"/>
      <c r="B107" s="830"/>
      <c r="C107" s="222"/>
      <c r="D107" s="521"/>
      <c r="E107" s="606"/>
      <c r="F107" s="379"/>
      <c r="G107" s="228"/>
      <c r="H107" s="229"/>
      <c r="I107" s="562"/>
      <c r="J107" s="271"/>
      <c r="K107" s="416"/>
      <c r="L107" s="417"/>
      <c r="M107" s="417"/>
      <c r="N107" s="781"/>
      <c r="O107" s="778"/>
      <c r="P107" s="778"/>
      <c r="Q107" s="778"/>
    </row>
    <row r="108" spans="1:17" ht="50" x14ac:dyDescent="0.35">
      <c r="A108" s="269"/>
      <c r="B108" s="830" t="str">
        <f>'Temp Conn'!B155</f>
        <v>3.4 Temporary connection for a special event - Three phase 80Ampère (Subsidised Areas) Temporary connection for a special event - Single phase 80Ampère P/P- Temporary Church , temporary creches, temporary Car wash ect (where a trench is not longer than 12m) - Maximum 12 months Only. (Permit letter be attached from Municipality)</v>
      </c>
      <c r="C108" s="226"/>
      <c r="D108" s="521">
        <f>'Temp Conn'!H191</f>
        <v>38200</v>
      </c>
      <c r="E108" s="606">
        <f t="shared" si="4"/>
        <v>43930</v>
      </c>
      <c r="F108" s="379">
        <f>'Temp Conn'!I191</f>
        <v>34800</v>
      </c>
      <c r="G108" s="228">
        <f t="shared" si="5"/>
        <v>-0.20783063965399498</v>
      </c>
      <c r="H108" s="229">
        <f t="shared" si="6"/>
        <v>5220</v>
      </c>
      <c r="I108" s="562">
        <f t="shared" si="7"/>
        <v>40020</v>
      </c>
      <c r="J108" s="271">
        <v>9100033030500</v>
      </c>
      <c r="K108" s="416">
        <f>+$I108*(1+'Unit tariffs'!$F$2)</f>
        <v>42301.14</v>
      </c>
      <c r="L108" s="417">
        <f>+$K108*(1+'Unit tariffs'!$F$2)</f>
        <v>44712.304979999994</v>
      </c>
      <c r="M108" s="417">
        <f>+$L108*(1+'Unit tariffs'!$F$2)</f>
        <v>47260.906363859991</v>
      </c>
      <c r="N108" s="781">
        <f>+$M108*(1+'Unit tariffs'!$F$2)</f>
        <v>49954.778026600005</v>
      </c>
      <c r="O108" s="778"/>
      <c r="P108" s="778"/>
      <c r="Q108" s="778"/>
    </row>
    <row r="109" spans="1:17" x14ac:dyDescent="0.35">
      <c r="A109" s="269"/>
      <c r="B109" s="241"/>
      <c r="C109" s="222"/>
      <c r="D109" s="521"/>
      <c r="E109" s="606"/>
      <c r="F109" s="379"/>
      <c r="G109" s="228"/>
      <c r="H109" s="229"/>
      <c r="I109" s="562"/>
      <c r="J109" s="271"/>
      <c r="K109" s="416"/>
      <c r="L109" s="417"/>
      <c r="M109" s="417"/>
      <c r="N109" s="781"/>
      <c r="O109" s="778"/>
      <c r="P109" s="778"/>
      <c r="Q109" s="778"/>
    </row>
    <row r="110" spans="1:17" ht="15" thickBot="1" x14ac:dyDescent="0.4">
      <c r="A110" s="364"/>
      <c r="B110" s="278"/>
      <c r="C110" s="279"/>
      <c r="D110" s="524"/>
      <c r="E110" s="606"/>
      <c r="F110" s="284"/>
      <c r="G110" s="228"/>
      <c r="H110" s="229"/>
      <c r="I110" s="562"/>
      <c r="J110" s="271"/>
      <c r="K110" s="416"/>
      <c r="L110" s="417"/>
      <c r="M110" s="417"/>
      <c r="N110" s="781"/>
      <c r="O110" s="778"/>
      <c r="P110" s="778"/>
      <c r="Q110" s="778"/>
    </row>
    <row r="111" spans="1:17" ht="15.5" x14ac:dyDescent="0.35">
      <c r="A111" s="261"/>
      <c r="B111" s="262" t="str">
        <f>B1</f>
        <v>CENTLEC : ELECTRICITY SERVICES COSTS FOR MANGAUNG METRO</v>
      </c>
      <c r="C111" s="263"/>
      <c r="D111" s="534"/>
      <c r="E111" s="606"/>
      <c r="F111" s="267"/>
      <c r="G111" s="228"/>
      <c r="H111" s="229"/>
      <c r="I111" s="562"/>
      <c r="J111" s="271"/>
      <c r="K111" s="416"/>
      <c r="L111" s="417"/>
      <c r="M111" s="417"/>
      <c r="N111" s="781"/>
      <c r="O111" s="778"/>
      <c r="P111" s="778"/>
      <c r="Q111" s="778"/>
    </row>
    <row r="112" spans="1:17" x14ac:dyDescent="0.35">
      <c r="A112" s="286"/>
      <c r="B112" s="287"/>
      <c r="C112" s="288"/>
      <c r="D112" s="530"/>
      <c r="E112" s="606"/>
      <c r="F112" s="308"/>
      <c r="G112" s="228"/>
      <c r="H112" s="229"/>
      <c r="I112" s="562"/>
      <c r="J112" s="271"/>
      <c r="K112" s="416"/>
      <c r="L112" s="417"/>
      <c r="M112" s="417"/>
      <c r="N112" s="781"/>
      <c r="O112" s="778"/>
      <c r="P112" s="778"/>
      <c r="Q112" s="778"/>
    </row>
    <row r="113" spans="1:17" x14ac:dyDescent="0.35">
      <c r="A113" s="269"/>
      <c r="B113" s="307" t="str">
        <f>'Upgrade '!B1</f>
        <v>4. Upgrade Residential</v>
      </c>
      <c r="C113" s="226"/>
      <c r="D113" s="516"/>
      <c r="E113" s="606"/>
      <c r="F113" s="224"/>
      <c r="G113" s="228"/>
      <c r="H113" s="229"/>
      <c r="I113" s="562"/>
      <c r="J113" s="271"/>
      <c r="K113" s="416"/>
      <c r="L113" s="417"/>
      <c r="M113" s="417"/>
      <c r="N113" s="781"/>
      <c r="O113" s="778"/>
      <c r="P113" s="778"/>
      <c r="Q113" s="778"/>
    </row>
    <row r="114" spans="1:17" x14ac:dyDescent="0.35">
      <c r="A114" s="269"/>
      <c r="B114" s="227"/>
      <c r="C114" s="226"/>
      <c r="D114" s="516"/>
      <c r="E114" s="606"/>
      <c r="F114" s="224"/>
      <c r="G114" s="228"/>
      <c r="H114" s="229"/>
      <c r="I114" s="562"/>
      <c r="J114" s="271"/>
      <c r="K114" s="416"/>
      <c r="L114" s="417"/>
      <c r="M114" s="417"/>
      <c r="N114" s="781"/>
      <c r="O114" s="778"/>
      <c r="P114" s="778"/>
      <c r="Q114" s="778"/>
    </row>
    <row r="115" spans="1:17" x14ac:dyDescent="0.35">
      <c r="A115" s="269"/>
      <c r="B115" s="514" t="str">
        <f>'Upgrade '!B3</f>
        <v xml:space="preserve">4.1 Upgrade of single phase Urban connection to three phase - Time of Use Meter(TOU)            </v>
      </c>
      <c r="C115" s="688" t="str">
        <f>'Upgrade '!H3</f>
        <v>[Mangaung]</v>
      </c>
      <c r="D115" s="521">
        <f>'Upgrade '!H36</f>
        <v>21350</v>
      </c>
      <c r="E115" s="606">
        <f t="shared" si="4"/>
        <v>24552.499999999996</v>
      </c>
      <c r="F115" s="379">
        <f>'Upgrade '!I36</f>
        <v>13790</v>
      </c>
      <c r="G115" s="228">
        <f t="shared" si="5"/>
        <v>-0.43834640057020663</v>
      </c>
      <c r="H115" s="229">
        <f t="shared" si="6"/>
        <v>2068.5</v>
      </c>
      <c r="I115" s="562">
        <f t="shared" si="7"/>
        <v>15858.5</v>
      </c>
      <c r="J115" s="271">
        <v>9100033030507</v>
      </c>
      <c r="K115" s="416">
        <f>+$I115*(1+'Unit tariffs'!$F$2)</f>
        <v>16762.434499999999</v>
      </c>
      <c r="L115" s="417">
        <f>+$K115*(1+'Unit tariffs'!$F$2)</f>
        <v>17717.893266499999</v>
      </c>
      <c r="M115" s="417">
        <f>+$L115*(1+'Unit tariffs'!$F$2)</f>
        <v>18727.813182690497</v>
      </c>
      <c r="N115" s="781">
        <f>+$M115*(1+'Unit tariffs'!$F$2)</f>
        <v>19795.298534103855</v>
      </c>
      <c r="O115" s="778"/>
      <c r="P115" s="778"/>
      <c r="Q115" s="778"/>
    </row>
    <row r="116" spans="1:17" ht="19.5" customHeight="1" x14ac:dyDescent="0.35">
      <c r="A116" s="269"/>
      <c r="B116" s="227"/>
      <c r="C116" s="226"/>
      <c r="D116" s="520"/>
      <c r="E116" s="606"/>
      <c r="F116" s="220"/>
      <c r="G116" s="228"/>
      <c r="H116" s="229"/>
      <c r="I116" s="562"/>
      <c r="J116" s="271"/>
      <c r="K116" s="416"/>
      <c r="L116" s="417"/>
      <c r="M116" s="417"/>
      <c r="N116" s="781"/>
      <c r="O116" s="778"/>
      <c r="P116" s="778"/>
      <c r="Q116" s="778"/>
    </row>
    <row r="117" spans="1:17" ht="25" x14ac:dyDescent="0.35">
      <c r="A117" s="269"/>
      <c r="B117" s="221" t="str">
        <f>'Upgrade '!B43</f>
        <v xml:space="preserve">4.2 Upgrade of single phase Urban connection to three phase - Split pre-payment meter             </v>
      </c>
      <c r="C117" s="222" t="str">
        <f>'Upgrade '!H43</f>
        <v>[Mangaung - Urban]</v>
      </c>
      <c r="D117" s="521">
        <f>'Upgrade '!H74</f>
        <v>13670</v>
      </c>
      <c r="E117" s="606">
        <f t="shared" si="4"/>
        <v>15720.499999999998</v>
      </c>
      <c r="F117" s="379">
        <f>'Upgrade '!I74</f>
        <v>14760</v>
      </c>
      <c r="G117" s="228">
        <f t="shared" si="5"/>
        <v>-6.1098565567252842E-2</v>
      </c>
      <c r="H117" s="229">
        <f t="shared" si="6"/>
        <v>2214</v>
      </c>
      <c r="I117" s="562">
        <f t="shared" si="7"/>
        <v>16974</v>
      </c>
      <c r="J117" s="271">
        <v>9100033030509</v>
      </c>
      <c r="K117" s="416">
        <f>+$I117*(1+'Unit tariffs'!$F$2)</f>
        <v>17941.518</v>
      </c>
      <c r="L117" s="417">
        <f>+$K117*(1+'Unit tariffs'!$F$2)</f>
        <v>18964.184525999997</v>
      </c>
      <c r="M117" s="417">
        <f>+$L117*(1+'Unit tariffs'!$F$2)</f>
        <v>20045.143043981996</v>
      </c>
      <c r="N117" s="781">
        <f>+$M117*(1+'Unit tariffs'!$F$2)</f>
        <v>21187.716197488968</v>
      </c>
      <c r="O117" s="778"/>
      <c r="P117" s="778"/>
      <c r="Q117" s="778"/>
    </row>
    <row r="118" spans="1:17" x14ac:dyDescent="0.35">
      <c r="A118" s="269"/>
      <c r="B118" s="221"/>
      <c r="C118" s="222"/>
      <c r="D118" s="521"/>
      <c r="E118" s="606"/>
      <c r="F118" s="379"/>
      <c r="G118" s="228"/>
      <c r="H118" s="229"/>
      <c r="I118" s="562"/>
      <c r="J118" s="271"/>
      <c r="K118" s="416"/>
      <c r="L118" s="417"/>
      <c r="M118" s="417"/>
      <c r="N118" s="781"/>
      <c r="O118" s="778"/>
      <c r="P118" s="778"/>
      <c r="Q118" s="778"/>
    </row>
    <row r="119" spans="1:17" ht="25" x14ac:dyDescent="0.35">
      <c r="A119" s="269"/>
      <c r="B119" s="221" t="str">
        <f>'Upgrade '!B80</f>
        <v xml:space="preserve">4.3 Upgrading of single phase Urban connection to three phase - Time of Use Meter(TOU)            </v>
      </c>
      <c r="C119" s="222" t="str">
        <f>'Upgrade '!H80</f>
        <v>[Regional - Urban]</v>
      </c>
      <c r="D119" s="521">
        <f>'Upgrade '!H112</f>
        <v>18400</v>
      </c>
      <c r="E119" s="606">
        <f t="shared" si="4"/>
        <v>21160</v>
      </c>
      <c r="F119" s="379">
        <f>'Upgrade '!I112</f>
        <v>10460</v>
      </c>
      <c r="G119" s="228">
        <f t="shared" si="5"/>
        <v>-0.50567107750472595</v>
      </c>
      <c r="H119" s="229">
        <f t="shared" si="6"/>
        <v>1569</v>
      </c>
      <c r="I119" s="562">
        <f t="shared" si="7"/>
        <v>12029</v>
      </c>
      <c r="J119" s="271">
        <v>9100033030511</v>
      </c>
      <c r="K119" s="416">
        <f>+$I119*(1+'Unit tariffs'!$F$2)</f>
        <v>12714.652999999998</v>
      </c>
      <c r="L119" s="417">
        <f>+$K119*(1+'Unit tariffs'!$F$2)</f>
        <v>13439.388220999997</v>
      </c>
      <c r="M119" s="417">
        <f>+$L119*(1+'Unit tariffs'!$F$2)</f>
        <v>14205.433349596997</v>
      </c>
      <c r="N119" s="781">
        <f>+$M119*(1+'Unit tariffs'!$F$2)</f>
        <v>15015.143050524024</v>
      </c>
      <c r="O119" s="778"/>
      <c r="P119" s="778"/>
      <c r="Q119" s="778"/>
    </row>
    <row r="120" spans="1:17" x14ac:dyDescent="0.35">
      <c r="A120" s="269"/>
      <c r="B120" s="221"/>
      <c r="C120" s="222"/>
      <c r="D120" s="521"/>
      <c r="E120" s="606"/>
      <c r="F120" s="379"/>
      <c r="G120" s="228"/>
      <c r="H120" s="229"/>
      <c r="I120" s="562"/>
      <c r="J120" s="271"/>
      <c r="K120" s="416"/>
      <c r="L120" s="417"/>
      <c r="M120" s="417"/>
      <c r="N120" s="781"/>
      <c r="O120" s="779"/>
      <c r="P120" s="779"/>
      <c r="Q120" s="779"/>
    </row>
    <row r="121" spans="1:17" ht="25" x14ac:dyDescent="0.35">
      <c r="A121" s="269"/>
      <c r="B121" s="221" t="str">
        <f>'Upgrade '!B119</f>
        <v xml:space="preserve">4.4 Upgrade of single phase Urban connection to three phase - Split pre-payment meter            </v>
      </c>
      <c r="C121" s="222" t="str">
        <f>'Upgrade '!H119</f>
        <v>[Regional - Urban]</v>
      </c>
      <c r="D121" s="521">
        <f>'Upgrade '!H149</f>
        <v>16290</v>
      </c>
      <c r="E121" s="606">
        <f t="shared" si="4"/>
        <v>18733.5</v>
      </c>
      <c r="F121" s="379">
        <f>'Upgrade '!I149</f>
        <v>10090</v>
      </c>
      <c r="G121" s="228">
        <f t="shared" si="5"/>
        <v>-0.46139269223583418</v>
      </c>
      <c r="H121" s="229">
        <f t="shared" si="6"/>
        <v>1513.5</v>
      </c>
      <c r="I121" s="562">
        <f t="shared" si="7"/>
        <v>11603.5</v>
      </c>
      <c r="J121" s="271">
        <v>9100033030513</v>
      </c>
      <c r="K121" s="416">
        <f>+$I121*(1+'Unit tariffs'!$F$2)</f>
        <v>12264.8995</v>
      </c>
      <c r="L121" s="417">
        <f>+$K121*(1+'Unit tariffs'!$F$2)</f>
        <v>12963.998771499999</v>
      </c>
      <c r="M121" s="417">
        <f>+$L121*(1+'Unit tariffs'!$F$2)</f>
        <v>13702.946701475497</v>
      </c>
      <c r="N121" s="781">
        <f>+$M121*(1+'Unit tariffs'!$F$2)</f>
        <v>14484.0146634596</v>
      </c>
      <c r="O121" s="779"/>
      <c r="P121" s="779"/>
      <c r="Q121" s="779"/>
    </row>
    <row r="122" spans="1:17" x14ac:dyDescent="0.35">
      <c r="A122" s="269"/>
      <c r="B122" s="221"/>
      <c r="C122" s="222"/>
      <c r="D122" s="521"/>
      <c r="E122" s="606"/>
      <c r="F122" s="379"/>
      <c r="G122" s="228"/>
      <c r="H122" s="229"/>
      <c r="I122" s="562"/>
      <c r="J122" s="271"/>
      <c r="K122" s="416"/>
      <c r="L122" s="417"/>
      <c r="M122" s="417"/>
      <c r="N122" s="781"/>
      <c r="O122" s="779"/>
      <c r="P122" s="779"/>
      <c r="Q122" s="779"/>
    </row>
    <row r="123" spans="1:17" ht="25" x14ac:dyDescent="0.35">
      <c r="A123" s="269"/>
      <c r="B123" s="221" t="str">
        <f>'Upgrade '!B154</f>
        <v xml:space="preserve">4.5 Upgrade of single phase Peri-Urban connection to three phase -Time of Use Meter(TOU)  </v>
      </c>
      <c r="C123" s="222" t="str">
        <f>'Upgrade '!H154</f>
        <v>[Mangaung - Urban]</v>
      </c>
      <c r="D123" s="521">
        <f>'Upgrade '!H186</f>
        <v>22900</v>
      </c>
      <c r="E123" s="606">
        <f t="shared" si="4"/>
        <v>26334.999999999996</v>
      </c>
      <c r="F123" s="379">
        <f>'Upgrade '!I186</f>
        <v>19730</v>
      </c>
      <c r="G123" s="228">
        <f t="shared" si="5"/>
        <v>-0.25080691095500274</v>
      </c>
      <c r="H123" s="229">
        <f t="shared" si="6"/>
        <v>2959.5</v>
      </c>
      <c r="I123" s="562">
        <f t="shared" si="7"/>
        <v>22689.5</v>
      </c>
      <c r="J123" s="271">
        <v>9100033030515</v>
      </c>
      <c r="K123" s="416">
        <f>+$I123*(1+'Unit tariffs'!$F$2)</f>
        <v>23982.801499999998</v>
      </c>
      <c r="L123" s="417">
        <f>+$K123*(1+'Unit tariffs'!$F$2)</f>
        <v>25349.821185499997</v>
      </c>
      <c r="M123" s="417">
        <f>+$L123*(1+'Unit tariffs'!$F$2)</f>
        <v>26794.760993073494</v>
      </c>
      <c r="N123" s="781">
        <f>+$M123*(1+'Unit tariffs'!$F$2)</f>
        <v>28322.062369678682</v>
      </c>
      <c r="O123" s="779"/>
      <c r="P123" s="779"/>
      <c r="Q123" s="779"/>
    </row>
    <row r="124" spans="1:17" x14ac:dyDescent="0.35">
      <c r="A124" s="269"/>
      <c r="B124" s="221"/>
      <c r="C124" s="222"/>
      <c r="D124" s="521"/>
      <c r="E124" s="606"/>
      <c r="F124" s="379"/>
      <c r="G124" s="228"/>
      <c r="H124" s="229"/>
      <c r="I124" s="562"/>
      <c r="J124" s="271"/>
      <c r="K124" s="416"/>
      <c r="L124" s="417"/>
      <c r="M124" s="417"/>
      <c r="N124" s="781"/>
      <c r="O124" s="779"/>
      <c r="P124" s="779"/>
      <c r="Q124" s="779"/>
    </row>
    <row r="125" spans="1:17" ht="25" x14ac:dyDescent="0.35">
      <c r="A125" s="269"/>
      <c r="B125" s="221" t="str">
        <f>'Upgrade '!B191</f>
        <v xml:space="preserve">4.6 Upgrade of single phase Peri-Urban connection to three phase -Split pre-payment meter    </v>
      </c>
      <c r="C125" s="222" t="str">
        <f>'Upgrade '!H191</f>
        <v>[Mangaung - Peri urban]</v>
      </c>
      <c r="D125" s="521">
        <f>'Upgrade '!H223</f>
        <v>24860</v>
      </c>
      <c r="E125" s="606">
        <f t="shared" si="4"/>
        <v>28588.999999999996</v>
      </c>
      <c r="F125" s="379">
        <f>'Upgrade '!I223</f>
        <v>19730</v>
      </c>
      <c r="G125" s="228">
        <f t="shared" si="5"/>
        <v>-0.30987442722725517</v>
      </c>
      <c r="H125" s="229">
        <f t="shared" si="6"/>
        <v>2959.5</v>
      </c>
      <c r="I125" s="562">
        <f t="shared" si="7"/>
        <v>22689.5</v>
      </c>
      <c r="J125" s="271">
        <v>9100033030517</v>
      </c>
      <c r="K125" s="416">
        <f>+$I125*(1+'Unit tariffs'!$F$2)</f>
        <v>23982.801499999998</v>
      </c>
      <c r="L125" s="417">
        <f>+$K125*(1+'Unit tariffs'!$F$2)</f>
        <v>25349.821185499997</v>
      </c>
      <c r="M125" s="417">
        <f>+$L125*(1+'Unit tariffs'!$F$2)</f>
        <v>26794.760993073494</v>
      </c>
      <c r="N125" s="781">
        <f>+$M125*(1+'Unit tariffs'!$F$2)</f>
        <v>28322.062369678682</v>
      </c>
      <c r="O125" s="778"/>
      <c r="P125" s="778"/>
      <c r="Q125" s="778"/>
    </row>
    <row r="126" spans="1:17" x14ac:dyDescent="0.35">
      <c r="A126" s="269"/>
      <c r="B126" s="221"/>
      <c r="C126" s="222"/>
      <c r="D126" s="520"/>
      <c r="E126" s="606"/>
      <c r="F126" s="220"/>
      <c r="G126" s="228"/>
      <c r="H126" s="229"/>
      <c r="I126" s="562"/>
      <c r="J126" s="271"/>
      <c r="K126" s="416"/>
      <c r="L126" s="417"/>
      <c r="M126" s="417"/>
      <c r="N126" s="781"/>
      <c r="O126" s="778"/>
      <c r="P126" s="778"/>
      <c r="Q126" s="778"/>
    </row>
    <row r="127" spans="1:17" ht="25" x14ac:dyDescent="0.35">
      <c r="A127" s="286"/>
      <c r="B127" s="221" t="str">
        <f>'Upgrade '!B228</f>
        <v xml:space="preserve">4.7 Upgrade of single phase Peri-Urban connection to three phase -Time of Use Meter(TOU)  </v>
      </c>
      <c r="C127" s="222" t="str">
        <f>'Upgrade '!H228</f>
        <v>[Regional - Peri urban]</v>
      </c>
      <c r="D127" s="525">
        <f>'Upgrade '!H260</f>
        <v>23860</v>
      </c>
      <c r="E127" s="606">
        <f t="shared" si="4"/>
        <v>27438.999999999996</v>
      </c>
      <c r="F127" s="382">
        <f>'Upgrade '!I260</f>
        <v>16550</v>
      </c>
      <c r="G127" s="228">
        <f t="shared" si="5"/>
        <v>-0.39684390830569621</v>
      </c>
      <c r="H127" s="229">
        <f t="shared" si="6"/>
        <v>2482.5</v>
      </c>
      <c r="I127" s="562">
        <f t="shared" si="7"/>
        <v>19032.5</v>
      </c>
      <c r="J127" s="271">
        <v>9100033030519</v>
      </c>
      <c r="K127" s="416">
        <f>+$I127*(1+'Unit tariffs'!$F$2)</f>
        <v>20117.352499999997</v>
      </c>
      <c r="L127" s="417">
        <f>+$K127*(1+'Unit tariffs'!$F$2)</f>
        <v>21264.041592499994</v>
      </c>
      <c r="M127" s="417">
        <f>+$L127*(1+'Unit tariffs'!$F$2)</f>
        <v>22476.091963272494</v>
      </c>
      <c r="N127" s="781">
        <f>+$M127*(1+'Unit tariffs'!$F$2)</f>
        <v>23757.229205179025</v>
      </c>
      <c r="O127" s="778"/>
      <c r="P127" s="778"/>
      <c r="Q127" s="778"/>
    </row>
    <row r="128" spans="1:17" x14ac:dyDescent="0.35">
      <c r="A128" s="269"/>
      <c r="B128" s="221"/>
      <c r="C128" s="222"/>
      <c r="D128" s="521"/>
      <c r="E128" s="606"/>
      <c r="F128" s="379"/>
      <c r="G128" s="228"/>
      <c r="H128" s="229"/>
      <c r="I128" s="562"/>
      <c r="J128" s="271"/>
      <c r="K128" s="416"/>
      <c r="L128" s="417"/>
      <c r="M128" s="417"/>
      <c r="N128" s="781"/>
      <c r="O128" s="778"/>
      <c r="P128" s="778"/>
      <c r="Q128" s="778"/>
    </row>
    <row r="129" spans="1:17" ht="29" customHeight="1" x14ac:dyDescent="0.35">
      <c r="A129" s="269"/>
      <c r="B129" s="195" t="str">
        <f>'Upgrade '!B265</f>
        <v xml:space="preserve">4.8 Conversion of single phase Peri-Urban connection to three phase - Split pre-payment meter      </v>
      </c>
      <c r="C129" s="222" t="str">
        <f>'Upgrade '!H265</f>
        <v>[Regional - Peri urban]</v>
      </c>
      <c r="D129" s="521">
        <f>'Upgrade '!H296</f>
        <v>21370</v>
      </c>
      <c r="E129" s="606">
        <f t="shared" si="4"/>
        <v>24575.499999999996</v>
      </c>
      <c r="F129" s="379">
        <f>'Upgrade '!I296</f>
        <v>15780</v>
      </c>
      <c r="G129" s="228">
        <f t="shared" si="5"/>
        <v>-0.35789709263290664</v>
      </c>
      <c r="H129" s="229">
        <f t="shared" si="6"/>
        <v>2367</v>
      </c>
      <c r="I129" s="562">
        <f t="shared" si="7"/>
        <v>18147</v>
      </c>
      <c r="J129" s="271">
        <v>9100033030521</v>
      </c>
      <c r="K129" s="416">
        <f>+$I129*(1+'Unit tariffs'!$F$2)</f>
        <v>19181.378999999997</v>
      </c>
      <c r="L129" s="417">
        <f>+$K129*(1+'Unit tariffs'!$F$2)</f>
        <v>20274.717602999997</v>
      </c>
      <c r="M129" s="417">
        <f>+$L129*(1+'Unit tariffs'!$F$2)</f>
        <v>21430.376506370994</v>
      </c>
      <c r="N129" s="781">
        <f>+$M129*(1+'Unit tariffs'!$F$2)</f>
        <v>22651.90796723414</v>
      </c>
      <c r="O129" s="778"/>
      <c r="P129" s="778"/>
      <c r="Q129" s="778"/>
    </row>
    <row r="130" spans="1:17" ht="15" thickBot="1" x14ac:dyDescent="0.4">
      <c r="A130" s="269"/>
      <c r="C130" s="222"/>
      <c r="D130" s="521"/>
      <c r="E130" s="606"/>
      <c r="F130" s="379"/>
      <c r="G130" s="228"/>
      <c r="H130" s="229"/>
      <c r="I130" s="562"/>
      <c r="J130" s="271"/>
      <c r="K130" s="416"/>
      <c r="L130" s="417"/>
      <c r="M130" s="417"/>
      <c r="N130" s="781"/>
      <c r="O130" s="778"/>
      <c r="P130" s="778"/>
      <c r="Q130" s="778"/>
    </row>
    <row r="131" spans="1:17" ht="16.5" customHeight="1" x14ac:dyDescent="0.35">
      <c r="A131" s="261"/>
      <c r="B131" s="262" t="str">
        <f>$B1</f>
        <v>CENTLEC : ELECTRICITY SERVICES COSTS FOR MANGAUNG METRO</v>
      </c>
      <c r="C131" s="263"/>
      <c r="D131" s="534"/>
      <c r="E131" s="606"/>
      <c r="F131" s="267"/>
      <c r="G131" s="228"/>
      <c r="H131" s="229"/>
      <c r="I131" s="562"/>
      <c r="J131" s="271"/>
      <c r="K131" s="416"/>
      <c r="L131" s="417"/>
      <c r="M131" s="417"/>
      <c r="N131" s="781"/>
      <c r="O131" s="778"/>
      <c r="P131" s="778"/>
      <c r="Q131" s="778"/>
    </row>
    <row r="132" spans="1:17" x14ac:dyDescent="0.35">
      <c r="A132" s="269"/>
      <c r="B132" s="227" t="str">
        <f>'Other Serv'!B2</f>
        <v>Other Services</v>
      </c>
      <c r="C132" s="226"/>
      <c r="D132" s="516"/>
      <c r="E132" s="606"/>
      <c r="F132" s="224"/>
      <c r="G132" s="228"/>
      <c r="H132" s="229"/>
      <c r="I132" s="562"/>
      <c r="J132" s="271"/>
      <c r="K132" s="416"/>
      <c r="L132" s="417"/>
      <c r="M132" s="417"/>
      <c r="N132" s="781"/>
      <c r="O132" s="778"/>
      <c r="P132" s="778"/>
      <c r="Q132" s="778"/>
    </row>
    <row r="133" spans="1:17" x14ac:dyDescent="0.35">
      <c r="A133" s="269"/>
      <c r="B133" s="225"/>
      <c r="C133" s="226"/>
      <c r="D133" s="516"/>
      <c r="E133" s="606"/>
      <c r="F133" s="224"/>
      <c r="G133" s="228"/>
      <c r="H133" s="229"/>
      <c r="I133" s="562"/>
      <c r="J133" s="271"/>
      <c r="K133" s="416"/>
      <c r="L133" s="417"/>
      <c r="M133" s="417"/>
      <c r="N133" s="781"/>
      <c r="O133" s="778"/>
      <c r="P133" s="778"/>
      <c r="Q133" s="778"/>
    </row>
    <row r="134" spans="1:17" x14ac:dyDescent="0.35">
      <c r="A134" s="269"/>
      <c r="B134" s="514" t="str">
        <f>'Other Serv'!B4</f>
        <v>5.  ILLUMINATING SIGNS</v>
      </c>
      <c r="C134" s="226"/>
      <c r="D134" s="521"/>
      <c r="E134" s="606"/>
      <c r="F134" s="224"/>
      <c r="G134" s="228"/>
      <c r="H134" s="229"/>
      <c r="I134" s="562"/>
      <c r="J134" s="271"/>
      <c r="K134" s="416"/>
      <c r="L134" s="417"/>
      <c r="M134" s="417"/>
      <c r="N134" s="781"/>
      <c r="O134" s="778"/>
      <c r="P134" s="778"/>
      <c r="Q134" s="778"/>
    </row>
    <row r="135" spans="1:17" ht="15" thickBot="1" x14ac:dyDescent="0.4">
      <c r="A135" s="293"/>
      <c r="B135" s="837" t="s">
        <v>733</v>
      </c>
      <c r="C135" s="295"/>
      <c r="D135" s="521">
        <f>'Other Serv'!H15</f>
        <v>111</v>
      </c>
      <c r="E135" s="606">
        <f t="shared" si="4"/>
        <v>127.64999999999999</v>
      </c>
      <c r="F135" s="379">
        <f>'Other Serv'!I15</f>
        <v>1656</v>
      </c>
      <c r="G135" s="228">
        <f t="shared" si="5"/>
        <v>11.972972972972974</v>
      </c>
      <c r="H135" s="229">
        <f t="shared" si="6"/>
        <v>248.39999999999998</v>
      </c>
      <c r="I135" s="562">
        <f t="shared" si="7"/>
        <v>1904.4</v>
      </c>
      <c r="J135" s="271">
        <v>9100033030527</v>
      </c>
      <c r="K135" s="416">
        <f>+$I135*(1+'Unit tariffs'!$F$2)</f>
        <v>2012.9508000000001</v>
      </c>
      <c r="L135" s="417">
        <f>+$K135*(1+'Unit tariffs'!$F$2)</f>
        <v>2127.6889956</v>
      </c>
      <c r="M135" s="417">
        <f>+$L135*(1+'Unit tariffs'!$F$2)</f>
        <v>2248.9672683491999</v>
      </c>
      <c r="N135" s="781">
        <f>+$M135*(1+'Unit tariffs'!$F$2)</f>
        <v>2377.1584026451042</v>
      </c>
      <c r="O135" s="778"/>
      <c r="P135" s="778"/>
      <c r="Q135" s="778"/>
    </row>
    <row r="136" spans="1:17" ht="15" thickTop="1" x14ac:dyDescent="0.35">
      <c r="A136" s="286"/>
      <c r="B136" s="287"/>
      <c r="C136" s="288"/>
      <c r="D136" s="525"/>
      <c r="E136" s="606"/>
      <c r="F136" s="382"/>
      <c r="G136" s="228"/>
      <c r="H136" s="229"/>
      <c r="I136" s="562"/>
      <c r="J136" s="271"/>
      <c r="K136" s="416"/>
      <c r="L136" s="417"/>
      <c r="M136" s="417"/>
      <c r="N136" s="781"/>
      <c r="O136" s="778"/>
      <c r="P136" s="778"/>
      <c r="Q136" s="778"/>
    </row>
    <row r="137" spans="1:17" x14ac:dyDescent="0.35">
      <c r="A137" s="269"/>
      <c r="B137" s="221" t="str">
        <f>'Other Serv'!B19</f>
        <v xml:space="preserve">6. Shifting </v>
      </c>
      <c r="C137" s="222"/>
      <c r="D137" s="521"/>
      <c r="E137" s="606"/>
      <c r="F137" s="379"/>
      <c r="G137" s="228"/>
      <c r="H137" s="229"/>
      <c r="I137" s="562"/>
      <c r="J137" s="271"/>
      <c r="K137" s="416"/>
      <c r="L137" s="417"/>
      <c r="M137" s="417"/>
      <c r="N137" s="781"/>
      <c r="O137" s="778"/>
      <c r="P137" s="778"/>
      <c r="Q137" s="778"/>
    </row>
    <row r="138" spans="1:17" x14ac:dyDescent="0.35">
      <c r="A138" s="269"/>
      <c r="B138" s="221" t="str">
        <f>'Other Serv'!B21</f>
        <v>6.1 Shifting of meter to meter box on stand boundary - Domestic connection - Urban</v>
      </c>
      <c r="C138" s="222"/>
      <c r="D138" s="521">
        <f>'Other Serv'!H28</f>
        <v>4980</v>
      </c>
      <c r="E138" s="606">
        <f t="shared" si="4"/>
        <v>5727</v>
      </c>
      <c r="F138" s="379">
        <f>'Other Serv'!I28</f>
        <v>4930</v>
      </c>
      <c r="G138" s="228">
        <f t="shared" si="5"/>
        <v>-0.13916535708049591</v>
      </c>
      <c r="H138" s="229">
        <f t="shared" si="6"/>
        <v>739.5</v>
      </c>
      <c r="I138" s="562">
        <f t="shared" si="7"/>
        <v>5669.5</v>
      </c>
      <c r="J138" s="271">
        <v>9100033030530</v>
      </c>
      <c r="K138" s="416">
        <f>+$I138*(1+'Unit tariffs'!$F$2)</f>
        <v>5992.6614999999993</v>
      </c>
      <c r="L138" s="417">
        <f>+$K138*(1+'Unit tariffs'!$F$2)</f>
        <v>6334.243205499999</v>
      </c>
      <c r="M138" s="417">
        <f>+$L138*(1+'Unit tariffs'!$F$2)</f>
        <v>6695.2950682134988</v>
      </c>
      <c r="N138" s="781">
        <f>+$M138*(1+'Unit tariffs'!$F$2)</f>
        <v>7076.9268871016675</v>
      </c>
      <c r="O138" s="779"/>
      <c r="P138" s="779"/>
      <c r="Q138" s="779"/>
    </row>
    <row r="139" spans="1:17" x14ac:dyDescent="0.35">
      <c r="A139" s="269"/>
      <c r="B139" s="221"/>
      <c r="C139" s="222"/>
      <c r="D139" s="521"/>
      <c r="E139" s="606"/>
      <c r="F139" s="379"/>
      <c r="G139" s="228"/>
      <c r="H139" s="229"/>
      <c r="I139" s="562"/>
      <c r="J139" s="271"/>
      <c r="K139" s="416"/>
      <c r="L139" s="417"/>
      <c r="M139" s="417"/>
      <c r="N139" s="781"/>
      <c r="O139" s="779"/>
      <c r="P139" s="779"/>
      <c r="Q139" s="779"/>
    </row>
    <row r="140" spans="1:17" ht="26" x14ac:dyDescent="0.35">
      <c r="A140" s="269"/>
      <c r="B140" s="221" t="str">
        <f>'Other Serv'!B33</f>
        <v>6.2 Shifting of connection - Pre-payment with ready board (per single connection) - Overhead only</v>
      </c>
      <c r="C140" s="222"/>
      <c r="D140" s="521">
        <f>'Other Serv'!H57</f>
        <v>2760</v>
      </c>
      <c r="E140" s="606">
        <f t="shared" ref="E140:E147" si="8">D140*1.15</f>
        <v>3173.9999999999995</v>
      </c>
      <c r="F140" s="379">
        <f>'Other Serv'!I57</f>
        <v>3440</v>
      </c>
      <c r="G140" s="228">
        <f t="shared" si="5"/>
        <v>8.3805923125393977E-2</v>
      </c>
      <c r="H140" s="229">
        <f t="shared" si="6"/>
        <v>516</v>
      </c>
      <c r="I140" s="562">
        <f t="shared" si="7"/>
        <v>3956</v>
      </c>
      <c r="J140" s="271">
        <v>9100033030532</v>
      </c>
      <c r="K140" s="416">
        <f>+$I140*(1+'Unit tariffs'!$F$2)</f>
        <v>4181.4920000000002</v>
      </c>
      <c r="L140" s="417">
        <f>+$K140*(1+'Unit tariffs'!$F$2)</f>
        <v>4419.8370439999999</v>
      </c>
      <c r="M140" s="417">
        <f>+$L140*(1+'Unit tariffs'!$F$2)</f>
        <v>4671.7677555079999</v>
      </c>
      <c r="N140" s="781">
        <f>+$M140*(1+'Unit tariffs'!$F$2)</f>
        <v>4938.0585175719552</v>
      </c>
      <c r="O140" s="779"/>
      <c r="P140" s="779"/>
      <c r="Q140" s="779"/>
    </row>
    <row r="141" spans="1:17" x14ac:dyDescent="0.35">
      <c r="A141" s="269"/>
      <c r="B141" s="221"/>
      <c r="C141" s="222"/>
      <c r="D141" s="521"/>
      <c r="E141" s="606"/>
      <c r="F141" s="379"/>
      <c r="G141" s="228"/>
      <c r="H141" s="229"/>
      <c r="I141" s="562"/>
      <c r="J141" s="271"/>
      <c r="K141" s="416"/>
      <c r="L141" s="417"/>
      <c r="M141" s="417"/>
      <c r="N141" s="781"/>
      <c r="O141" s="779"/>
      <c r="P141" s="779"/>
      <c r="Q141" s="779"/>
    </row>
    <row r="142" spans="1:17" x14ac:dyDescent="0.35">
      <c r="A142" s="269"/>
      <c r="B142" s="221" t="str">
        <f>'Other Serv'!B64</f>
        <v>7. Hiring of Genset</v>
      </c>
      <c r="C142" s="222"/>
      <c r="D142" s="521">
        <f>'Other Serv'!H86</f>
        <v>14740</v>
      </c>
      <c r="E142" s="606">
        <f t="shared" si="8"/>
        <v>16951</v>
      </c>
      <c r="F142" s="379">
        <f>'Other Serv'!I86</f>
        <v>17920</v>
      </c>
      <c r="G142" s="228">
        <f t="shared" si="5"/>
        <v>5.7164769040174618E-2</v>
      </c>
      <c r="H142" s="229">
        <f t="shared" si="6"/>
        <v>2688</v>
      </c>
      <c r="I142" s="562">
        <f t="shared" si="7"/>
        <v>20608</v>
      </c>
      <c r="J142" s="271">
        <v>9100033030534</v>
      </c>
      <c r="K142" s="416">
        <f>+$I142*(1+'Unit tariffs'!$F$2)</f>
        <v>21782.655999999999</v>
      </c>
      <c r="L142" s="417">
        <f>+$K142*(1+'Unit tariffs'!$F$2)</f>
        <v>23024.267391999998</v>
      </c>
      <c r="M142" s="417">
        <f>+$L142*(1+'Unit tariffs'!$F$2)</f>
        <v>24336.650633343997</v>
      </c>
      <c r="N142" s="781">
        <f>+$M142*(1+'Unit tariffs'!$F$2)</f>
        <v>25723.839719444604</v>
      </c>
      <c r="O142" s="779"/>
      <c r="P142" s="779"/>
      <c r="Q142" s="779"/>
    </row>
    <row r="143" spans="1:17" x14ac:dyDescent="0.35">
      <c r="A143" s="269"/>
      <c r="B143" s="221"/>
      <c r="C143" s="222"/>
      <c r="D143" s="521"/>
      <c r="E143" s="606"/>
      <c r="F143" s="379"/>
      <c r="G143" s="228"/>
      <c r="H143" s="229"/>
      <c r="I143" s="562"/>
      <c r="J143" s="271"/>
      <c r="K143" s="416"/>
      <c r="L143" s="417"/>
      <c r="M143" s="417"/>
      <c r="N143" s="781"/>
      <c r="O143" s="779"/>
      <c r="P143" s="779"/>
      <c r="Q143" s="779"/>
    </row>
    <row r="144" spans="1:17" x14ac:dyDescent="0.35">
      <c r="A144" s="269"/>
      <c r="B144" s="221" t="str">
        <f>'Other Serv'!B95</f>
        <v>8. Conversion of a Meters</v>
      </c>
      <c r="C144" s="222"/>
      <c r="D144" s="521"/>
      <c r="E144" s="606"/>
      <c r="F144" s="379"/>
      <c r="G144" s="228"/>
      <c r="H144" s="229"/>
      <c r="I144" s="562"/>
      <c r="J144" s="271"/>
      <c r="K144" s="416"/>
      <c r="L144" s="417"/>
      <c r="M144" s="417"/>
      <c r="N144" s="781"/>
      <c r="O144" s="779"/>
      <c r="P144" s="779"/>
      <c r="Q144" s="779"/>
    </row>
    <row r="145" spans="1:17" ht="25" x14ac:dyDescent="0.35">
      <c r="A145" s="269"/>
      <c r="B145" s="830" t="str">
        <f>'Other Serv'!B97</f>
        <v>8.1 Conversion of a single register meter to Single phase Pre-payment where meterbox exist on erf boundary - ( No charge for Prepayment  meter)</v>
      </c>
      <c r="C145" s="222"/>
      <c r="D145" s="521">
        <f>'Other Serv'!H120</f>
        <v>2060</v>
      </c>
      <c r="E145" s="606">
        <f t="shared" si="8"/>
        <v>2369</v>
      </c>
      <c r="F145" s="379">
        <f>'Other Serv'!I120</f>
        <v>2330</v>
      </c>
      <c r="G145" s="228">
        <f t="shared" si="5"/>
        <v>-1.6462642465175179E-2</v>
      </c>
      <c r="H145" s="229">
        <f t="shared" si="6"/>
        <v>349.5</v>
      </c>
      <c r="I145" s="562">
        <f t="shared" si="7"/>
        <v>2679.5</v>
      </c>
      <c r="J145" s="271">
        <v>9100033030537</v>
      </c>
      <c r="K145" s="416">
        <f>+$I145*(1+'Unit tariffs'!$F$2)</f>
        <v>2832.2314999999999</v>
      </c>
      <c r="L145" s="417">
        <f>+$K145*(1+'Unit tariffs'!$F$2)</f>
        <v>2993.6686954999996</v>
      </c>
      <c r="M145" s="417">
        <f>+$L145*(1+'Unit tariffs'!$F$2)</f>
        <v>3164.3078111434993</v>
      </c>
      <c r="N145" s="781">
        <f>+$M145*(1+'Unit tariffs'!$F$2)</f>
        <v>3344.6733563786784</v>
      </c>
      <c r="O145" s="779"/>
      <c r="P145" s="779"/>
      <c r="Q145" s="779"/>
    </row>
    <row r="146" spans="1:17" x14ac:dyDescent="0.35">
      <c r="A146" s="269"/>
      <c r="B146" s="221"/>
      <c r="C146" s="222"/>
      <c r="D146" s="521"/>
      <c r="E146" s="606"/>
      <c r="F146" s="379"/>
      <c r="G146" s="228"/>
      <c r="H146" s="229"/>
      <c r="I146" s="562"/>
      <c r="J146" s="271"/>
      <c r="K146" s="416"/>
      <c r="L146" s="417"/>
      <c r="M146" s="417"/>
      <c r="N146" s="781"/>
      <c r="O146" s="779"/>
      <c r="P146" s="779"/>
      <c r="Q146" s="779"/>
    </row>
    <row r="147" spans="1:17" ht="25" x14ac:dyDescent="0.35">
      <c r="A147" s="269"/>
      <c r="B147" s="830" t="str">
        <f>'Other Serv'!B129</f>
        <v>8.2 Conversion of Three phase (TOU/kWH) connection to Prepayment meter - Existing meterbox on erf boundary</v>
      </c>
      <c r="C147" s="222"/>
      <c r="D147" s="521">
        <f>'Other Serv'!H152</f>
        <v>1810</v>
      </c>
      <c r="E147" s="606">
        <f t="shared" si="8"/>
        <v>2081.5</v>
      </c>
      <c r="F147" s="379">
        <f>'Other Serv'!I152</f>
        <v>2030</v>
      </c>
      <c r="G147" s="228">
        <f t="shared" si="5"/>
        <v>-2.4741772760028827E-2</v>
      </c>
      <c r="H147" s="229">
        <f t="shared" si="6"/>
        <v>304.5</v>
      </c>
      <c r="I147" s="562">
        <f t="shared" si="7"/>
        <v>2334.5</v>
      </c>
      <c r="J147" s="271">
        <v>9100033030539</v>
      </c>
      <c r="K147" s="416">
        <f>+$I147*(1+'Unit tariffs'!$F$2)</f>
        <v>2467.5664999999999</v>
      </c>
      <c r="L147" s="417">
        <f>+$K147*(1+'Unit tariffs'!$F$2)</f>
        <v>2608.2177904999999</v>
      </c>
      <c r="M147" s="417">
        <f>+$L147*(1+'Unit tariffs'!$F$2)</f>
        <v>2756.8862045584997</v>
      </c>
      <c r="N147" s="781">
        <f>+$M147*(1+'Unit tariffs'!$F$2)</f>
        <v>2914.0287182183338</v>
      </c>
      <c r="O147" s="779"/>
      <c r="P147" s="779"/>
      <c r="Q147" s="779"/>
    </row>
    <row r="148" spans="1:17" ht="15" thickBot="1" x14ac:dyDescent="0.4">
      <c r="A148" s="269"/>
      <c r="B148" s="221"/>
      <c r="C148" s="222"/>
      <c r="D148" s="521"/>
      <c r="E148" s="606"/>
      <c r="F148" s="379"/>
      <c r="G148" s="228"/>
      <c r="H148" s="229"/>
      <c r="I148" s="562"/>
      <c r="J148" s="271"/>
      <c r="K148" s="416"/>
      <c r="L148" s="417"/>
      <c r="M148" s="417"/>
      <c r="N148" s="781"/>
      <c r="O148" s="779"/>
      <c r="P148" s="779"/>
      <c r="Q148" s="779"/>
    </row>
    <row r="149" spans="1:17" ht="100" x14ac:dyDescent="0.35">
      <c r="A149" s="269"/>
      <c r="B149" s="951" t="s">
        <v>706</v>
      </c>
      <c r="C149" s="979"/>
      <c r="D149" s="248" t="s">
        <v>251</v>
      </c>
      <c r="E149" s="606"/>
      <c r="F149" s="622" t="s">
        <v>344</v>
      </c>
      <c r="G149" s="663" t="s">
        <v>442</v>
      </c>
      <c r="H149" s="229"/>
      <c r="I149" s="562"/>
      <c r="J149" s="271"/>
      <c r="K149" s="416"/>
      <c r="L149" s="417"/>
      <c r="M149" s="417"/>
      <c r="N149" s="781"/>
      <c r="O149" s="779"/>
      <c r="P149" s="779"/>
      <c r="Q149" s="779"/>
    </row>
    <row r="150" spans="1:17" ht="87.5" x14ac:dyDescent="0.35">
      <c r="A150" s="269"/>
      <c r="B150" s="900" t="s">
        <v>707</v>
      </c>
      <c r="C150" s="901"/>
      <c r="D150" s="248" t="s">
        <v>251</v>
      </c>
      <c r="E150" s="606"/>
      <c r="F150" s="622" t="s">
        <v>344</v>
      </c>
      <c r="G150" s="664" t="s">
        <v>344</v>
      </c>
      <c r="H150" s="230"/>
      <c r="I150" s="224"/>
      <c r="J150" s="272"/>
      <c r="K150" s="408"/>
      <c r="L150" s="409"/>
      <c r="M150" s="409"/>
      <c r="N150" s="781"/>
      <c r="O150" s="779"/>
      <c r="P150" s="779"/>
      <c r="Q150" s="779"/>
    </row>
    <row r="151" spans="1:17" ht="100" x14ac:dyDescent="0.35">
      <c r="A151" s="286"/>
      <c r="B151" s="900" t="s">
        <v>708</v>
      </c>
      <c r="C151" s="901"/>
      <c r="D151" s="250" t="s">
        <v>253</v>
      </c>
      <c r="E151" s="606"/>
      <c r="F151" s="622" t="s">
        <v>343</v>
      </c>
      <c r="G151" s="664" t="s">
        <v>343</v>
      </c>
      <c r="H151" s="291"/>
      <c r="I151" s="560"/>
      <c r="J151" s="310"/>
      <c r="K151" s="412"/>
      <c r="L151" s="413"/>
      <c r="M151" s="413"/>
      <c r="N151" s="781"/>
      <c r="O151" s="779"/>
      <c r="P151" s="779"/>
      <c r="Q151" s="779"/>
    </row>
    <row r="152" spans="1:17" ht="100" x14ac:dyDescent="0.35">
      <c r="A152" s="269"/>
      <c r="B152" s="900" t="s">
        <v>709</v>
      </c>
      <c r="C152" s="901"/>
      <c r="D152" s="250" t="s">
        <v>254</v>
      </c>
      <c r="E152" s="606"/>
      <c r="F152" s="622" t="s">
        <v>255</v>
      </c>
      <c r="G152" s="664" t="s">
        <v>255</v>
      </c>
      <c r="H152" s="216"/>
      <c r="I152" s="561"/>
      <c r="J152" s="270"/>
      <c r="K152" s="414"/>
      <c r="L152" s="415"/>
      <c r="M152" s="415"/>
      <c r="N152" s="781"/>
      <c r="O152" s="779"/>
      <c r="P152" s="779"/>
      <c r="Q152" s="779"/>
    </row>
    <row r="153" spans="1:17" ht="100" x14ac:dyDescent="0.35">
      <c r="A153" s="269"/>
      <c r="B153" s="900" t="s">
        <v>710</v>
      </c>
      <c r="C153" s="901"/>
      <c r="D153" s="250" t="s">
        <v>255</v>
      </c>
      <c r="E153" s="538"/>
      <c r="F153" s="622" t="s">
        <v>342</v>
      </c>
      <c r="G153" s="663" t="s">
        <v>342</v>
      </c>
      <c r="H153" s="229"/>
      <c r="I153" s="562"/>
      <c r="J153" s="271"/>
      <c r="K153" s="416"/>
      <c r="L153" s="417"/>
      <c r="M153" s="417"/>
      <c r="N153" s="781"/>
      <c r="O153" s="779"/>
      <c r="P153" s="779"/>
      <c r="Q153" s="779"/>
    </row>
    <row r="154" spans="1:17" x14ac:dyDescent="0.35">
      <c r="A154" s="269"/>
      <c r="B154" s="221"/>
      <c r="C154" s="222"/>
      <c r="D154" s="521"/>
      <c r="E154" s="606"/>
      <c r="F154" s="379"/>
      <c r="G154" s="242"/>
      <c r="H154" s="230"/>
      <c r="I154" s="224"/>
      <c r="J154" s="272"/>
      <c r="K154" s="408"/>
      <c r="L154" s="409"/>
      <c r="M154" s="409"/>
      <c r="N154" s="781"/>
      <c r="O154" s="779"/>
      <c r="P154" s="779"/>
      <c r="Q154" s="779"/>
    </row>
    <row r="155" spans="1:17" x14ac:dyDescent="0.35">
      <c r="A155" s="269"/>
      <c r="B155" s="216"/>
      <c r="C155" s="254"/>
      <c r="D155" s="542"/>
      <c r="E155" s="626"/>
      <c r="F155" s="390"/>
      <c r="G155" s="228"/>
      <c r="H155" s="229"/>
      <c r="I155" s="562"/>
      <c r="J155" s="271"/>
      <c r="K155" s="416"/>
      <c r="L155" s="417"/>
      <c r="M155" s="417"/>
      <c r="N155" s="781"/>
      <c r="O155" s="44"/>
      <c r="P155" s="216"/>
      <c r="Q155" s="216"/>
    </row>
    <row r="156" spans="1:17" ht="30" customHeight="1" x14ac:dyDescent="0.35">
      <c r="A156" s="276" t="s">
        <v>276</v>
      </c>
      <c r="B156" s="221"/>
      <c r="C156" s="254"/>
      <c r="D156" s="542"/>
      <c r="E156" s="626"/>
      <c r="F156" s="258"/>
      <c r="G156" s="228"/>
      <c r="H156" s="229"/>
      <c r="I156" s="562"/>
      <c r="J156" s="271"/>
      <c r="K156" s="416"/>
      <c r="L156" s="417"/>
      <c r="M156" s="417"/>
      <c r="N156" s="781"/>
      <c r="O156" s="44"/>
      <c r="P156" s="216"/>
      <c r="Q156" s="216"/>
    </row>
    <row r="157" spans="1:17" ht="18" customHeight="1" x14ac:dyDescent="0.35">
      <c r="A157" s="269"/>
      <c r="B157" s="216" t="s">
        <v>265</v>
      </c>
      <c r="C157" s="254"/>
      <c r="D157" s="542"/>
      <c r="E157" s="626">
        <v>2665</v>
      </c>
      <c r="F157" s="390">
        <f>+E157*(1+'Unit tariffs'!$F$2)</f>
        <v>2816.9049999999997</v>
      </c>
      <c r="G157" s="228">
        <f t="shared" ref="G157:G159" si="9">(F157-E157)/E157</f>
        <v>5.6999999999999905E-2</v>
      </c>
      <c r="H157" s="229">
        <f t="shared" ref="H157:H159" si="10">F157*H$3</f>
        <v>422.53574999999995</v>
      </c>
      <c r="I157" s="562">
        <f t="shared" ref="I157:I159" si="11">F157+H157</f>
        <v>3239.4407499999998</v>
      </c>
      <c r="J157" s="271">
        <v>9100033030416</v>
      </c>
      <c r="K157" s="416">
        <f>+$I157*(1+'Unit tariffs'!$F$2)</f>
        <v>3424.0888727499996</v>
      </c>
      <c r="L157" s="417">
        <f>+$K157*(1+'Unit tariffs'!$F$2)</f>
        <v>3619.2619384967493</v>
      </c>
      <c r="M157" s="417">
        <f>+$L157*(1+'Unit tariffs'!$F$2)</f>
        <v>3825.5598689910639</v>
      </c>
      <c r="N157" s="781">
        <f>+$M157*(1+'Unit tariffs'!$F$2)</f>
        <v>4043.6167815235544</v>
      </c>
      <c r="O157" s="44"/>
      <c r="P157" s="216"/>
      <c r="Q157" s="216"/>
    </row>
    <row r="158" spans="1:17" x14ac:dyDescent="0.35">
      <c r="A158" s="269"/>
      <c r="B158" s="216" t="s">
        <v>266</v>
      </c>
      <c r="C158" s="254"/>
      <c r="D158" s="542"/>
      <c r="E158" s="626">
        <v>13005.2</v>
      </c>
      <c r="F158" s="390">
        <f>+E158*(1+'Unit tariffs'!$F$2)</f>
        <v>13746.4964</v>
      </c>
      <c r="G158" s="228">
        <f t="shared" si="9"/>
        <v>5.699999999999994E-2</v>
      </c>
      <c r="H158" s="229">
        <f t="shared" si="10"/>
        <v>2061.9744599999999</v>
      </c>
      <c r="I158" s="562">
        <f t="shared" si="11"/>
        <v>15808.470859999999</v>
      </c>
      <c r="J158" s="271">
        <v>9100033030416</v>
      </c>
      <c r="K158" s="416">
        <f>+$I158*(1+'Unit tariffs'!$F$2)</f>
        <v>16709.553699019998</v>
      </c>
      <c r="L158" s="417">
        <f>+$K158*(1+'Unit tariffs'!$F$2)</f>
        <v>17661.998259864136</v>
      </c>
      <c r="M158" s="417">
        <f>+$L158*(1+'Unit tariffs'!$F$2)</f>
        <v>18668.732160676391</v>
      </c>
      <c r="N158" s="781">
        <f>+$M158*(1+'Unit tariffs'!$F$2)</f>
        <v>19732.849893834944</v>
      </c>
      <c r="O158" s="44"/>
      <c r="P158" s="216"/>
      <c r="Q158" s="216"/>
    </row>
    <row r="159" spans="1:17" x14ac:dyDescent="0.35">
      <c r="A159" s="269"/>
      <c r="B159" s="216" t="s">
        <v>267</v>
      </c>
      <c r="C159" s="254"/>
      <c r="D159" s="542"/>
      <c r="E159" s="626">
        <v>65026</v>
      </c>
      <c r="F159" s="390">
        <f>+E159*(1+'Unit tariffs'!$F$2)</f>
        <v>68732.481999999989</v>
      </c>
      <c r="G159" s="228">
        <f t="shared" si="9"/>
        <v>5.6999999999999829E-2</v>
      </c>
      <c r="H159" s="229">
        <f t="shared" si="10"/>
        <v>10309.872299999997</v>
      </c>
      <c r="I159" s="562">
        <f t="shared" si="11"/>
        <v>79042.354299999992</v>
      </c>
      <c r="J159" s="271">
        <v>9100033030416</v>
      </c>
      <c r="K159" s="416">
        <f>+$I159*(1+'Unit tariffs'!$F$2)</f>
        <v>83547.768495099983</v>
      </c>
      <c r="L159" s="417">
        <f>+$K159*(1+'Unit tariffs'!$F$2)</f>
        <v>88309.991299320682</v>
      </c>
      <c r="M159" s="417">
        <f>+$L159*(1+'Unit tariffs'!$F$2)</f>
        <v>93343.66080338195</v>
      </c>
      <c r="N159" s="781">
        <f>+$M159*(1+'Unit tariffs'!$F$2)</f>
        <v>98664.249469174712</v>
      </c>
      <c r="O159" s="44"/>
      <c r="P159" s="216"/>
      <c r="Q159" s="216"/>
    </row>
    <row r="160" spans="1:17" ht="13.25" customHeight="1" x14ac:dyDescent="0.25">
      <c r="A160" s="893" t="s">
        <v>277</v>
      </c>
      <c r="B160" s="894"/>
      <c r="C160" s="895"/>
      <c r="D160" s="254"/>
      <c r="E160" s="626"/>
      <c r="F160" s="254"/>
      <c r="G160" s="228"/>
      <c r="H160" s="254"/>
      <c r="I160" s="580"/>
      <c r="J160" s="352"/>
      <c r="K160" s="434"/>
      <c r="L160" s="435"/>
      <c r="M160" s="435"/>
      <c r="N160" s="792"/>
      <c r="O160" s="44"/>
      <c r="P160" s="216"/>
      <c r="Q160" s="216"/>
    </row>
    <row r="161" spans="1:17" ht="13.25" customHeight="1" x14ac:dyDescent="0.25">
      <c r="A161" s="893" t="s">
        <v>278</v>
      </c>
      <c r="B161" s="894"/>
      <c r="C161" s="895"/>
      <c r="D161" s="254"/>
      <c r="E161" s="626"/>
      <c r="F161" s="254"/>
      <c r="G161" s="260"/>
      <c r="H161" s="254"/>
      <c r="I161" s="580"/>
      <c r="J161" s="352"/>
      <c r="K161" s="434"/>
      <c r="L161" s="435"/>
      <c r="M161" s="435"/>
      <c r="N161" s="792"/>
      <c r="O161" s="44"/>
      <c r="P161" s="216"/>
      <c r="Q161" s="216"/>
    </row>
    <row r="162" spans="1:17" x14ac:dyDescent="0.35">
      <c r="A162" s="269"/>
      <c r="B162" s="221"/>
      <c r="C162" s="222"/>
      <c r="D162" s="217"/>
      <c r="E162" s="605"/>
      <c r="F162" s="217"/>
      <c r="G162" s="219"/>
      <c r="H162" s="216"/>
      <c r="I162" s="581"/>
      <c r="J162" s="270"/>
      <c r="K162" s="414"/>
      <c r="L162" s="415"/>
      <c r="M162" s="415"/>
      <c r="N162" s="780"/>
      <c r="O162" s="44"/>
      <c r="P162" s="216"/>
      <c r="Q162" s="216"/>
    </row>
    <row r="163" spans="1:17" x14ac:dyDescent="0.35">
      <c r="A163" s="276" t="s">
        <v>106</v>
      </c>
      <c r="B163" s="227"/>
      <c r="C163" s="222"/>
      <c r="D163" s="217"/>
      <c r="E163" s="605"/>
      <c r="F163" s="217"/>
      <c r="G163" s="219"/>
      <c r="H163" s="216"/>
      <c r="I163" s="581"/>
      <c r="J163" s="270"/>
      <c r="K163" s="414"/>
      <c r="L163" s="415"/>
      <c r="M163" s="415"/>
      <c r="N163" s="780"/>
      <c r="O163" s="44"/>
      <c r="P163" s="216"/>
      <c r="Q163" s="216"/>
    </row>
    <row r="164" spans="1:17" x14ac:dyDescent="0.35">
      <c r="A164" s="276" t="s">
        <v>130</v>
      </c>
      <c r="B164" s="227"/>
      <c r="C164" s="222"/>
      <c r="D164" s="217"/>
      <c r="E164" s="605"/>
      <c r="F164" s="217"/>
      <c r="G164" s="223"/>
      <c r="H164" s="216"/>
      <c r="I164" s="581"/>
      <c r="J164" s="270"/>
      <c r="K164" s="414"/>
      <c r="L164" s="415"/>
      <c r="M164" s="415"/>
      <c r="N164" s="780"/>
      <c r="O164" s="44"/>
      <c r="P164" s="216"/>
      <c r="Q164" s="216"/>
    </row>
    <row r="165" spans="1:17" ht="19.5" customHeight="1" x14ac:dyDescent="0.35">
      <c r="A165" s="276" t="s">
        <v>107</v>
      </c>
      <c r="B165" s="227"/>
      <c r="C165" s="222"/>
      <c r="D165" s="217"/>
      <c r="E165" s="605"/>
      <c r="F165" s="217"/>
      <c r="G165" s="219"/>
      <c r="H165" s="216"/>
      <c r="I165" s="581"/>
      <c r="J165" s="270"/>
      <c r="K165" s="414"/>
      <c r="L165" s="415"/>
      <c r="M165" s="415"/>
      <c r="N165" s="780"/>
      <c r="O165" s="44"/>
      <c r="P165" s="216"/>
      <c r="Q165" s="216"/>
    </row>
    <row r="166" spans="1:17" ht="18.75" customHeight="1" x14ac:dyDescent="0.35">
      <c r="A166" s="269" t="s">
        <v>110</v>
      </c>
      <c r="B166" s="221"/>
      <c r="C166" s="222"/>
      <c r="D166" s="217"/>
      <c r="E166" s="605"/>
      <c r="F166" s="217"/>
      <c r="G166" s="219"/>
      <c r="H166" s="216"/>
      <c r="I166" s="581"/>
      <c r="J166" s="270"/>
      <c r="K166" s="414"/>
      <c r="L166" s="415"/>
      <c r="M166" s="415"/>
      <c r="N166" s="780"/>
      <c r="O166" s="44"/>
      <c r="P166" s="216"/>
      <c r="Q166" s="216"/>
    </row>
    <row r="167" spans="1:17" x14ac:dyDescent="0.35">
      <c r="A167" s="269"/>
      <c r="B167" s="221"/>
      <c r="C167" s="222"/>
      <c r="D167" s="217"/>
      <c r="E167" s="605"/>
      <c r="F167" s="217"/>
      <c r="G167" s="219"/>
      <c r="H167" s="216"/>
      <c r="I167" s="581"/>
      <c r="J167" s="270"/>
      <c r="K167" s="414"/>
      <c r="L167" s="415"/>
      <c r="M167" s="415"/>
      <c r="N167" s="780"/>
      <c r="O167" s="44"/>
      <c r="P167" s="216"/>
      <c r="Q167" s="216"/>
    </row>
    <row r="168" spans="1:17" x14ac:dyDescent="0.35">
      <c r="A168" s="276" t="s">
        <v>273</v>
      </c>
      <c r="B168" s="221"/>
      <c r="C168" s="222"/>
      <c r="D168" s="217"/>
      <c r="E168" s="605"/>
      <c r="F168" s="217"/>
      <c r="G168" s="219"/>
      <c r="H168" s="216"/>
      <c r="I168" s="581"/>
      <c r="J168" s="270"/>
      <c r="K168" s="414"/>
      <c r="L168" s="415"/>
      <c r="M168" s="415"/>
      <c r="N168" s="780"/>
      <c r="O168" s="44"/>
      <c r="P168" s="216"/>
      <c r="Q168" s="216"/>
    </row>
    <row r="169" spans="1:17" x14ac:dyDescent="0.35">
      <c r="A169" s="276" t="s">
        <v>271</v>
      </c>
      <c r="B169" s="221"/>
      <c r="C169" s="222"/>
      <c r="D169" s="217"/>
      <c r="E169" s="605"/>
      <c r="F169" s="217"/>
      <c r="G169" s="219"/>
      <c r="H169" s="216"/>
      <c r="I169" s="581"/>
      <c r="J169" s="270"/>
      <c r="K169" s="414"/>
      <c r="L169" s="415"/>
      <c r="M169" s="415"/>
      <c r="N169" s="780"/>
      <c r="O169" s="44"/>
      <c r="P169" s="216"/>
      <c r="Q169" s="216"/>
    </row>
    <row r="170" spans="1:17" ht="15" thickBot="1" x14ac:dyDescent="0.4">
      <c r="A170" s="277" t="s">
        <v>272</v>
      </c>
      <c r="B170" s="278"/>
      <c r="C170" s="279"/>
      <c r="D170" s="280"/>
      <c r="E170" s="608"/>
      <c r="F170" s="280"/>
      <c r="G170" s="282"/>
      <c r="H170" s="283"/>
      <c r="I170" s="582"/>
      <c r="J170" s="285"/>
      <c r="K170" s="420"/>
      <c r="L170" s="421"/>
      <c r="M170" s="421"/>
      <c r="N170" s="787"/>
      <c r="O170" s="44"/>
      <c r="P170" s="216"/>
      <c r="Q170" s="216"/>
    </row>
    <row r="171" spans="1:17" x14ac:dyDescent="0.35">
      <c r="F171" s="199"/>
      <c r="I171" s="583"/>
    </row>
    <row r="172" spans="1:17" x14ac:dyDescent="0.35">
      <c r="F172" s="199"/>
      <c r="I172" s="583"/>
    </row>
    <row r="173" spans="1:17" x14ac:dyDescent="0.35">
      <c r="F173" s="199"/>
      <c r="I173" s="583"/>
    </row>
    <row r="174" spans="1:17" x14ac:dyDescent="0.35">
      <c r="I174" s="583"/>
    </row>
    <row r="175" spans="1:17" x14ac:dyDescent="0.35">
      <c r="I175" s="583"/>
    </row>
  </sheetData>
  <mergeCells count="8">
    <mergeCell ref="A160:C160"/>
    <mergeCell ref="A161:C161"/>
    <mergeCell ref="O2:Q5"/>
    <mergeCell ref="B149:C149"/>
    <mergeCell ref="B150:C150"/>
    <mergeCell ref="B151:C151"/>
    <mergeCell ref="B152:C152"/>
    <mergeCell ref="B153:C153"/>
  </mergeCells>
  <pageMargins left="0.25" right="0.25" top="0.75" bottom="0.75" header="0.3" footer="0.3"/>
  <pageSetup paperSize="8" scale="76" fitToHeight="0" orientation="landscape" r:id="rId1"/>
  <headerFooter>
    <oddHeader>&amp;C&amp;"Arial,Bold"&amp;12Proposed Electrical Service Tariffs for CENTLEC (SOC) Ltd for the 2017/2018 finincial year</oddHeader>
    <oddFooter>&amp;C&amp;F&amp;R&amp;"Arial,Bold"&amp;12Page &amp;P</oddFooter>
  </headerFooter>
  <rowBreaks count="3" manualBreakCount="3">
    <brk id="92" max="14" man="1"/>
    <brk id="110" max="14" man="1"/>
    <brk id="130" max="1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pageSetUpPr fitToPage="1"/>
  </sheetPr>
  <dimension ref="A1:V224"/>
  <sheetViews>
    <sheetView tabSelected="1" view="pageBreakPreview" zoomScale="85" zoomScaleNormal="75" zoomScaleSheetLayoutView="85" zoomScalePageLayoutView="75" workbookViewId="0">
      <pane ySplit="5" topLeftCell="A211" activePane="bottomLeft" state="frozen"/>
      <selection pane="bottomLeft" activeCell="B1" sqref="A1:M211"/>
    </sheetView>
  </sheetViews>
  <sheetFormatPr defaultColWidth="8.90625" defaultRowHeight="14.5" x14ac:dyDescent="0.35"/>
  <cols>
    <col min="1" max="1" width="1.6328125" style="2" customWidth="1"/>
    <col min="2" max="2" width="80.36328125" style="195" customWidth="1"/>
    <col min="3" max="3" width="18" style="197" customWidth="1"/>
    <col min="4" max="4" width="13.54296875" style="199" hidden="1" customWidth="1"/>
    <col min="5" max="5" width="12.1796875" style="774" customWidth="1"/>
    <col min="6" max="6" width="14.453125" style="873" customWidth="1"/>
    <col min="7" max="7" width="13" style="196" hidden="1" customWidth="1"/>
    <col min="8" max="8" width="11.90625" style="2" customWidth="1"/>
    <col min="9" max="9" width="13.90625" style="584" customWidth="1"/>
    <col min="10" max="10" width="14.26953125" style="2" hidden="1" customWidth="1"/>
    <col min="11" max="11" width="14" style="879" customWidth="1"/>
    <col min="12" max="12" width="15" style="879" customWidth="1"/>
    <col min="13" max="14" width="15.453125" style="393" customWidth="1"/>
    <col min="15" max="15" width="12.08984375" hidden="1" customWidth="1"/>
    <col min="16" max="16" width="9.1796875" style="2" hidden="1" customWidth="1"/>
    <col min="17" max="17" width="11.81640625" style="2" hidden="1" customWidth="1"/>
    <col min="18" max="20" width="12.08984375" style="2" customWidth="1"/>
    <col min="21" max="21" width="10.36328125" style="2" bestFit="1" customWidth="1"/>
    <col min="22" max="22" width="10.54296875" style="2" bestFit="1" customWidth="1"/>
    <col min="23" max="16384" width="8.90625" style="2"/>
  </cols>
  <sheetData>
    <row r="1" spans="1:22" ht="31" x14ac:dyDescent="0.35">
      <c r="A1" s="261"/>
      <c r="B1" s="262" t="s">
        <v>782</v>
      </c>
      <c r="C1" s="263"/>
      <c r="D1" s="515"/>
      <c r="E1" s="601"/>
      <c r="F1" s="859"/>
      <c r="G1" s="265"/>
      <c r="H1" s="266"/>
      <c r="I1" s="559"/>
      <c r="J1" s="268"/>
      <c r="K1" s="874"/>
      <c r="L1" s="880"/>
      <c r="M1" s="407"/>
      <c r="N1" s="407"/>
    </row>
    <row r="2" spans="1:22" ht="14.4" customHeight="1" x14ac:dyDescent="0.35">
      <c r="A2" s="269"/>
      <c r="B2" s="221" t="s">
        <v>1</v>
      </c>
      <c r="C2" s="222"/>
      <c r="D2" s="516" t="s">
        <v>317</v>
      </c>
      <c r="E2" s="602" t="s">
        <v>317</v>
      </c>
      <c r="F2" s="224" t="s">
        <v>788</v>
      </c>
      <c r="G2" s="327" t="s">
        <v>85</v>
      </c>
      <c r="H2" s="52" t="s">
        <v>441</v>
      </c>
      <c r="I2" s="224" t="s">
        <v>138</v>
      </c>
      <c r="J2" s="325" t="s">
        <v>75</v>
      </c>
      <c r="K2" s="847" t="s">
        <v>74</v>
      </c>
      <c r="L2" s="848" t="s">
        <v>74</v>
      </c>
      <c r="M2" s="667" t="str">
        <f>L2</f>
        <v>PROPOSED</v>
      </c>
      <c r="N2" s="775" t="str">
        <f>M2</f>
        <v>PROPOSED</v>
      </c>
      <c r="O2" s="897" t="s">
        <v>622</v>
      </c>
      <c r="P2" s="897"/>
      <c r="Q2" s="897"/>
    </row>
    <row r="3" spans="1:22" x14ac:dyDescent="0.35">
      <c r="A3" s="269"/>
      <c r="B3" s="307" t="s">
        <v>330</v>
      </c>
      <c r="C3" s="226"/>
      <c r="D3" s="516" t="s">
        <v>318</v>
      </c>
      <c r="E3" s="602" t="s">
        <v>318</v>
      </c>
      <c r="F3" s="224" t="s">
        <v>318</v>
      </c>
      <c r="G3" s="327" t="s">
        <v>86</v>
      </c>
      <c r="H3" s="643">
        <f>+'Unit tariffs'!F$3</f>
        <v>0.15</v>
      </c>
      <c r="I3" s="224" t="s">
        <v>139</v>
      </c>
      <c r="J3" s="325" t="s">
        <v>78</v>
      </c>
      <c r="K3" s="847" t="s">
        <v>318</v>
      </c>
      <c r="L3" s="848" t="s">
        <v>318</v>
      </c>
      <c r="M3" s="667" t="str">
        <f>L3</f>
        <v>TARIFFS</v>
      </c>
      <c r="N3" s="775" t="str">
        <f>M3</f>
        <v>TARIFFS</v>
      </c>
      <c r="O3" s="897"/>
      <c r="P3" s="897"/>
      <c r="Q3" s="897"/>
    </row>
    <row r="4" spans="1:22" x14ac:dyDescent="0.35">
      <c r="A4" s="269"/>
      <c r="B4" s="221" t="s">
        <v>1</v>
      </c>
      <c r="C4" s="226" t="s">
        <v>328</v>
      </c>
      <c r="D4" s="516" t="str">
        <f>'Calc Sheet 23_24'!H11</f>
        <v>2025/2026</v>
      </c>
      <c r="E4" s="665" t="str">
        <f>'Calc Sheet 23_24'!$H$11</f>
        <v>2025/2026</v>
      </c>
      <c r="F4" s="224" t="str">
        <f>'Calc Sheet 23_24'!$I$11</f>
        <v>2026/2027</v>
      </c>
      <c r="G4" s="327" t="str">
        <f>F4</f>
        <v>2026/2027</v>
      </c>
      <c r="H4" s="52" t="str">
        <f>F4</f>
        <v>2026/2027</v>
      </c>
      <c r="I4" s="224" t="str">
        <f>H4</f>
        <v>2026/2027</v>
      </c>
      <c r="J4" s="325" t="s">
        <v>79</v>
      </c>
      <c r="K4" s="847" t="s">
        <v>734</v>
      </c>
      <c r="L4" s="848" t="s">
        <v>735</v>
      </c>
      <c r="M4" s="667" t="s">
        <v>737</v>
      </c>
      <c r="N4" s="775" t="s">
        <v>738</v>
      </c>
      <c r="O4" s="897"/>
      <c r="P4" s="897"/>
      <c r="Q4" s="897"/>
    </row>
    <row r="5" spans="1:22" ht="15" thickBot="1" x14ac:dyDescent="0.4">
      <c r="A5" s="293"/>
      <c r="B5" s="309" t="s">
        <v>1</v>
      </c>
      <c r="C5" s="295" t="s">
        <v>329</v>
      </c>
      <c r="D5" s="517" t="s">
        <v>80</v>
      </c>
      <c r="E5" s="603" t="s">
        <v>711</v>
      </c>
      <c r="F5" s="334" t="s">
        <v>80</v>
      </c>
      <c r="G5" s="332"/>
      <c r="H5" s="333"/>
      <c r="I5" s="334"/>
      <c r="J5" s="335"/>
      <c r="K5" s="849" t="s">
        <v>80</v>
      </c>
      <c r="L5" s="850" t="s">
        <v>80</v>
      </c>
      <c r="M5" s="844" t="str">
        <f>L5</f>
        <v>(Excl.vat)</v>
      </c>
      <c r="N5" s="845" t="str">
        <f>M5</f>
        <v>(Excl.vat)</v>
      </c>
      <c r="O5" s="897"/>
      <c r="P5" s="897"/>
      <c r="Q5" s="897"/>
    </row>
    <row r="6" spans="1:22" ht="15" thickTop="1" x14ac:dyDescent="0.35">
      <c r="A6" s="286"/>
      <c r="B6" s="315"/>
      <c r="C6" s="329"/>
      <c r="D6" s="518"/>
      <c r="E6" s="604"/>
      <c r="F6" s="860"/>
      <c r="G6" s="290"/>
      <c r="H6" s="291"/>
      <c r="I6" s="560"/>
      <c r="J6" s="310"/>
      <c r="K6" s="875"/>
      <c r="L6" s="881"/>
      <c r="M6" s="413"/>
      <c r="N6" s="777"/>
      <c r="O6" s="779" t="s">
        <v>630</v>
      </c>
      <c r="P6" s="779" t="s">
        <v>631</v>
      </c>
      <c r="Q6" s="779" t="s">
        <v>632</v>
      </c>
    </row>
    <row r="7" spans="1:22" ht="24" customHeight="1" x14ac:dyDescent="0.35">
      <c r="A7" s="269"/>
      <c r="B7" s="226" t="s">
        <v>104</v>
      </c>
      <c r="C7" s="226"/>
      <c r="D7" s="519"/>
      <c r="E7" s="605"/>
      <c r="F7" s="861"/>
      <c r="G7" s="219"/>
      <c r="H7" s="216"/>
      <c r="I7" s="561"/>
      <c r="J7" s="270"/>
      <c r="K7" s="855"/>
      <c r="L7" s="856"/>
      <c r="M7" s="415"/>
      <c r="N7" s="780"/>
      <c r="O7" s="44"/>
      <c r="P7" s="216"/>
      <c r="Q7" s="216"/>
    </row>
    <row r="8" spans="1:22" x14ac:dyDescent="0.35">
      <c r="A8" s="269"/>
      <c r="B8" s="227" t="str">
        <f>'New Conn'!B5</f>
        <v xml:space="preserve">1. NEW CONNECTIONS: </v>
      </c>
      <c r="C8" s="226"/>
      <c r="D8" s="520"/>
      <c r="E8" s="605"/>
      <c r="F8" s="861"/>
      <c r="G8" s="219"/>
      <c r="H8" s="216"/>
      <c r="I8" s="561"/>
      <c r="J8" s="270"/>
      <c r="K8" s="855"/>
      <c r="L8" s="856"/>
      <c r="M8" s="415"/>
      <c r="N8" s="780"/>
      <c r="O8" s="44"/>
      <c r="P8" s="216"/>
      <c r="Q8" s="216"/>
    </row>
    <row r="9" spans="1:22" x14ac:dyDescent="0.35">
      <c r="A9" s="269"/>
      <c r="B9" s="227"/>
      <c r="C9" s="226"/>
      <c r="D9" s="520"/>
      <c r="E9" s="605"/>
      <c r="F9" s="861"/>
      <c r="G9" s="219"/>
      <c r="H9" s="216"/>
      <c r="I9" s="561"/>
      <c r="J9" s="270"/>
      <c r="K9" s="984"/>
      <c r="L9" s="856"/>
      <c r="M9" s="415"/>
      <c r="N9" s="780"/>
      <c r="O9" s="44"/>
      <c r="P9" s="216"/>
      <c r="Q9" s="216"/>
    </row>
    <row r="10" spans="1:22" ht="26" x14ac:dyDescent="0.35">
      <c r="A10" s="269"/>
      <c r="B10" s="221" t="str">
        <f>'New Conn'!B7</f>
        <v xml:space="preserve">1.1  Single phase overhead connection with Split Pre-payment meter taken from overhead network   - No Ready board   </v>
      </c>
      <c r="C10" s="222" t="s">
        <v>240</v>
      </c>
      <c r="D10" s="521">
        <f>'New Conn'!H39</f>
        <v>7370</v>
      </c>
      <c r="E10" s="606">
        <f>D10*1.15</f>
        <v>8475.5</v>
      </c>
      <c r="F10" s="862">
        <f>'New Conn'!I39</f>
        <v>7330</v>
      </c>
      <c r="G10" s="228">
        <f>(F10-E10)/E10</f>
        <v>-0.13515426818476786</v>
      </c>
      <c r="H10" s="229">
        <f>F10*H$3</f>
        <v>1099.5</v>
      </c>
      <c r="I10" s="562">
        <f>F10+H10</f>
        <v>8429.5</v>
      </c>
      <c r="J10" s="271">
        <v>9100033030416</v>
      </c>
      <c r="K10" s="851">
        <f>+$F10*(1+'Unit tariffs'!$F$2)</f>
        <v>7747.8099999999995</v>
      </c>
      <c r="L10" s="852">
        <f>+$K10*(1+'Unit tariffs'!$F$2)</f>
        <v>8189.4351699999988</v>
      </c>
      <c r="M10" s="417">
        <f>+$L10*(1+'Unit tariffs'!$F$2)</f>
        <v>8656.2329746899977</v>
      </c>
      <c r="N10" s="781">
        <f>+$M10*(1+'Unit tariffs'!$F$2)</f>
        <v>9149.6382542473275</v>
      </c>
      <c r="O10" s="779" t="s">
        <v>633</v>
      </c>
      <c r="P10" s="779" t="s">
        <v>633</v>
      </c>
      <c r="Q10" s="779" t="s">
        <v>633</v>
      </c>
      <c r="S10" s="846"/>
      <c r="T10" s="846"/>
      <c r="U10" s="846"/>
      <c r="V10" s="846"/>
    </row>
    <row r="11" spans="1:22" x14ac:dyDescent="0.35">
      <c r="A11" s="269"/>
      <c r="B11" s="221"/>
      <c r="C11" s="222"/>
      <c r="D11" s="521"/>
      <c r="E11" s="606"/>
      <c r="F11" s="862"/>
      <c r="G11" s="228"/>
      <c r="H11" s="228"/>
      <c r="I11" s="563"/>
      <c r="J11" s="272"/>
      <c r="K11" s="853"/>
      <c r="L11" s="854"/>
      <c r="M11" s="419"/>
      <c r="N11" s="782"/>
      <c r="O11" s="778"/>
      <c r="P11" s="778"/>
      <c r="Q11" s="778"/>
      <c r="S11" s="846"/>
      <c r="T11" s="846"/>
      <c r="U11" s="846"/>
      <c r="V11" s="846"/>
    </row>
    <row r="12" spans="1:22" ht="26" x14ac:dyDescent="0.35">
      <c r="A12" s="269"/>
      <c r="B12" s="221" t="str">
        <f>'New Conn'!B45</f>
        <v xml:space="preserve">1.2  Single phase overhead connection with Split Pre-payment meter taken from overhead network   - With Ready board   </v>
      </c>
      <c r="C12" s="222" t="s">
        <v>240</v>
      </c>
      <c r="D12" s="521">
        <f>'New Conn'!H79</f>
        <v>8770</v>
      </c>
      <c r="E12" s="606">
        <f t="shared" ref="E12:E75" si="0">D12*1.15</f>
        <v>10085.5</v>
      </c>
      <c r="F12" s="862">
        <f>'New Conn'!I79</f>
        <v>8710</v>
      </c>
      <c r="G12" s="228">
        <f>(F12-E12)/E12</f>
        <v>-0.13638391750532944</v>
      </c>
      <c r="H12" s="229">
        <f>F12*H$3</f>
        <v>1306.5</v>
      </c>
      <c r="I12" s="562">
        <f>F12+H12</f>
        <v>10016.5</v>
      </c>
      <c r="J12" s="271">
        <v>9100033030416</v>
      </c>
      <c r="K12" s="851">
        <f>+$F12*(1+'Unit tariffs'!$F$2)</f>
        <v>9206.4699999999993</v>
      </c>
      <c r="L12" s="852">
        <f>+$K12*(1+'Unit tariffs'!$F$2)</f>
        <v>9731.2387899999994</v>
      </c>
      <c r="M12" s="417">
        <f>+$L12*(1+'Unit tariffs'!$F$2)</f>
        <v>10285.919401029998</v>
      </c>
      <c r="N12" s="781">
        <f>+$M12*(1+'Unit tariffs'!$F$2)</f>
        <v>10872.216806888708</v>
      </c>
      <c r="O12" s="779" t="s">
        <v>633</v>
      </c>
      <c r="P12" s="779" t="s">
        <v>633</v>
      </c>
      <c r="Q12" s="779" t="s">
        <v>633</v>
      </c>
    </row>
    <row r="13" spans="1:22" x14ac:dyDescent="0.35">
      <c r="A13" s="269"/>
      <c r="B13" s="231"/>
      <c r="C13" s="232"/>
      <c r="D13" s="521"/>
      <c r="E13" s="606"/>
      <c r="F13" s="862"/>
      <c r="G13" s="228"/>
      <c r="H13" s="228"/>
      <c r="I13" s="563"/>
      <c r="J13" s="272"/>
      <c r="K13" s="853"/>
      <c r="L13" s="854"/>
      <c r="M13" s="419"/>
      <c r="N13" s="782"/>
      <c r="O13" s="778"/>
      <c r="P13" s="778"/>
      <c r="Q13" s="778"/>
    </row>
    <row r="14" spans="1:22" ht="26.5" customHeight="1" x14ac:dyDescent="0.35">
      <c r="A14" s="269"/>
      <c r="B14" s="221" t="str">
        <f>'New Conn'!B85</f>
        <v xml:space="preserve">1.3  Single phase underground/ovehead connection with Split Pre-payment meter taken from underground/overhead network (Flisp Housing)  - With Ready board   </v>
      </c>
      <c r="C14" s="677" t="s">
        <v>295</v>
      </c>
      <c r="D14" s="521">
        <f>'New Conn'!H116</f>
        <v>13760</v>
      </c>
      <c r="E14" s="606">
        <f t="shared" si="0"/>
        <v>15823.999999999998</v>
      </c>
      <c r="F14" s="862">
        <f>'New Conn'!I116</f>
        <v>13670</v>
      </c>
      <c r="G14" s="228">
        <f>(F14-E14)/E14</f>
        <v>-0.13612234580384217</v>
      </c>
      <c r="H14" s="229">
        <f>F14*H$3</f>
        <v>2050.5</v>
      </c>
      <c r="I14" s="562">
        <f>F14+H14</f>
        <v>15720.5</v>
      </c>
      <c r="J14" s="271">
        <v>9100033030416</v>
      </c>
      <c r="K14" s="851">
        <f>+$F14*(1+'Unit tariffs'!$F$2)</f>
        <v>14449.189999999999</v>
      </c>
      <c r="L14" s="852">
        <f>+$K14*(1+'Unit tariffs'!$F$2)</f>
        <v>15272.793829999997</v>
      </c>
      <c r="M14" s="417">
        <f>+$L14*(1+'Unit tariffs'!$F$2)</f>
        <v>16143.343078309996</v>
      </c>
      <c r="N14" s="781">
        <f>+$M14*(1+'Unit tariffs'!$F$2)</f>
        <v>17063.513633773666</v>
      </c>
      <c r="O14" s="779" t="s">
        <v>633</v>
      </c>
      <c r="P14" s="779" t="s">
        <v>633</v>
      </c>
      <c r="Q14" s="779" t="s">
        <v>633</v>
      </c>
    </row>
    <row r="15" spans="1:22" x14ac:dyDescent="0.35">
      <c r="A15" s="269"/>
      <c r="B15" s="231"/>
      <c r="C15" s="232"/>
      <c r="D15" s="521"/>
      <c r="E15" s="606"/>
      <c r="F15" s="862"/>
      <c r="G15" s="228"/>
      <c r="H15" s="228"/>
      <c r="I15" s="563"/>
      <c r="J15" s="272"/>
      <c r="K15" s="853"/>
      <c r="L15" s="854"/>
      <c r="M15" s="419"/>
      <c r="N15" s="782"/>
      <c r="O15" s="778"/>
      <c r="P15" s="778"/>
      <c r="Q15" s="778"/>
    </row>
    <row r="16" spans="1:22" ht="28.25" customHeight="1" x14ac:dyDescent="0.35">
      <c r="A16" s="269"/>
      <c r="B16" s="221" t="str">
        <f>'New Conn'!B120</f>
        <v>1.4  New connection (Permanent) for Church/ Creche with NPO certificate &amp; Proof of Title deeds paper registered with Church/Creche:  Single phase Split Prepaid  meter</v>
      </c>
      <c r="C16" s="222" t="s">
        <v>240</v>
      </c>
      <c r="D16" s="521">
        <f>'New Conn'!H150</f>
        <v>15240</v>
      </c>
      <c r="E16" s="606">
        <f t="shared" si="0"/>
        <v>17526</v>
      </c>
      <c r="F16" s="862">
        <f>'New Conn'!I150</f>
        <v>15140</v>
      </c>
      <c r="G16" s="228">
        <f>(F16-E16)/E16</f>
        <v>-0.13614059112176197</v>
      </c>
      <c r="H16" s="229">
        <f>F16*H$3</f>
        <v>2271</v>
      </c>
      <c r="I16" s="562">
        <f>F16+H16</f>
        <v>17411</v>
      </c>
      <c r="J16" s="271">
        <v>9100033030416</v>
      </c>
      <c r="K16" s="851">
        <f>+$F16*(1+'Unit tariffs'!$F$2)</f>
        <v>16002.98</v>
      </c>
      <c r="L16" s="852">
        <f>+$K16*(1+'Unit tariffs'!$F$2)</f>
        <v>16915.149859999998</v>
      </c>
      <c r="M16" s="417">
        <f>+$L16*(1+'Unit tariffs'!$F$2)</f>
        <v>17879.313402019998</v>
      </c>
      <c r="N16" s="781">
        <f>+$M16*(1+'Unit tariffs'!$F$2)</f>
        <v>18898.434265935135</v>
      </c>
      <c r="O16" s="779" t="s">
        <v>633</v>
      </c>
      <c r="P16" s="779" t="s">
        <v>633</v>
      </c>
      <c r="Q16" s="779" t="s">
        <v>633</v>
      </c>
    </row>
    <row r="17" spans="1:17" ht="19.5" customHeight="1" x14ac:dyDescent="0.35">
      <c r="A17" s="269"/>
      <c r="B17" s="221"/>
      <c r="C17" s="222"/>
      <c r="D17" s="521"/>
      <c r="E17" s="606"/>
      <c r="F17" s="862"/>
      <c r="G17" s="228"/>
      <c r="H17" s="229"/>
      <c r="I17" s="562"/>
      <c r="J17" s="271"/>
      <c r="K17" s="851"/>
      <c r="L17" s="852"/>
      <c r="M17" s="417"/>
      <c r="N17" s="781"/>
      <c r="O17" s="778"/>
      <c r="P17" s="778"/>
      <c r="Q17" s="778"/>
    </row>
    <row r="18" spans="1:17" ht="26" x14ac:dyDescent="0.35">
      <c r="A18" s="269"/>
      <c r="B18" s="233" t="str">
        <f>'New Conn'!B155</f>
        <v>1.5  Single phase domestic connection in meter box placed on stand boundary taken from underground cable network (Connection to an erf, where the development costs has been paid) -</v>
      </c>
      <c r="C18" s="222" t="s">
        <v>240</v>
      </c>
      <c r="D18" s="520"/>
      <c r="E18" s="606"/>
      <c r="F18" s="862"/>
      <c r="G18" s="228"/>
      <c r="H18" s="229"/>
      <c r="I18" s="562"/>
      <c r="J18" s="271"/>
      <c r="K18" s="851"/>
      <c r="L18" s="852"/>
      <c r="M18" s="417"/>
      <c r="N18" s="781"/>
      <c r="O18" s="778"/>
      <c r="P18" s="778"/>
      <c r="Q18" s="778"/>
    </row>
    <row r="19" spans="1:17" ht="32.4" customHeight="1" x14ac:dyDescent="0.35">
      <c r="A19" s="269"/>
      <c r="B19" s="233" t="str">
        <f>+'Calc Sheet 23_24'!B157:G157</f>
        <v xml:space="preserve">    1.5.1 Connection in meter box, Single Phase Time of Use kWh meter</v>
      </c>
      <c r="C19" s="222" t="s">
        <v>240</v>
      </c>
      <c r="D19" s="521">
        <f>'New Conn'!H185</f>
        <v>8560</v>
      </c>
      <c r="E19" s="606">
        <f t="shared" si="0"/>
        <v>9844</v>
      </c>
      <c r="F19" s="862">
        <f>'New Conn'!I185</f>
        <v>8510</v>
      </c>
      <c r="G19" s="228">
        <f>(F19-E19)/E19</f>
        <v>-0.13551401869158877</v>
      </c>
      <c r="H19" s="229">
        <f>F19*H$3</f>
        <v>1276.5</v>
      </c>
      <c r="I19" s="562">
        <f>F19+H19</f>
        <v>9786.5</v>
      </c>
      <c r="J19" s="271">
        <v>9100033030416</v>
      </c>
      <c r="K19" s="851">
        <f>+$F19*(1+'Unit tariffs'!$F$2)</f>
        <v>8995.07</v>
      </c>
      <c r="L19" s="852">
        <f>+$K19*(1+'Unit tariffs'!$F$2)</f>
        <v>9507.7889899999991</v>
      </c>
      <c r="M19" s="417">
        <f>+$L19*(1+'Unit tariffs'!$F$2)</f>
        <v>10049.732962429998</v>
      </c>
      <c r="N19" s="781">
        <f>+$M19*(1+'Unit tariffs'!$F$2)</f>
        <v>10622.567741288507</v>
      </c>
      <c r="O19" s="779" t="s">
        <v>633</v>
      </c>
      <c r="P19" s="779" t="s">
        <v>633</v>
      </c>
      <c r="Q19" s="779" t="s">
        <v>633</v>
      </c>
    </row>
    <row r="20" spans="1:17" ht="32.4" customHeight="1" x14ac:dyDescent="0.35">
      <c r="A20" s="269"/>
      <c r="B20" s="233" t="str">
        <f>'New Conn'!B190</f>
        <v xml:space="preserve">    1.5.2 Connection in meter box, Single phase Split pre-payment meter</v>
      </c>
      <c r="C20" s="222" t="s">
        <v>240</v>
      </c>
      <c r="D20" s="521">
        <f>'New Conn'!H215</f>
        <v>4950</v>
      </c>
      <c r="E20" s="606">
        <f t="shared" si="0"/>
        <v>5692.5</v>
      </c>
      <c r="F20" s="862">
        <f>'New Conn'!I215</f>
        <v>4930</v>
      </c>
      <c r="G20" s="228">
        <f>(F20-E20)/E20</f>
        <v>-0.1339481774264383</v>
      </c>
      <c r="H20" s="229">
        <f>F20*H$3</f>
        <v>739.5</v>
      </c>
      <c r="I20" s="562">
        <f>F20+H20</f>
        <v>5669.5</v>
      </c>
      <c r="J20" s="271">
        <v>9100033030416</v>
      </c>
      <c r="K20" s="851">
        <f>+$F20*(1+'Unit tariffs'!$F$2)</f>
        <v>5211.0099999999993</v>
      </c>
      <c r="L20" s="852">
        <f>+$K20*(1+'Unit tariffs'!$F$2)</f>
        <v>5508.0375699999986</v>
      </c>
      <c r="M20" s="417">
        <f>+$L20*(1+'Unit tariffs'!$F$2)</f>
        <v>5821.995711489998</v>
      </c>
      <c r="N20" s="781">
        <f>+$M20*(1+'Unit tariffs'!$F$2)</f>
        <v>6153.8494670449272</v>
      </c>
      <c r="O20" s="779" t="s">
        <v>633</v>
      </c>
      <c r="P20" s="779" t="s">
        <v>633</v>
      </c>
      <c r="Q20" s="779" t="s">
        <v>633</v>
      </c>
    </row>
    <row r="21" spans="1:17" ht="31.5" customHeight="1" x14ac:dyDescent="0.35">
      <c r="A21" s="269"/>
      <c r="B21" s="221" t="str">
        <f>'New Conn'!B221</f>
        <v>1.6 Single phase Pre-payment meters for areas that are fully subsidised. (Grants from different departments, e.g USDG, etc)</v>
      </c>
      <c r="C21" s="514" t="s">
        <v>240</v>
      </c>
      <c r="D21" s="521">
        <f>'New Conn'!H247</f>
        <v>1010</v>
      </c>
      <c r="E21" s="606">
        <f t="shared" si="0"/>
        <v>1161.5</v>
      </c>
      <c r="F21" s="862">
        <f>'New Conn'!I247</f>
        <v>1000</v>
      </c>
      <c r="G21" s="228">
        <f>(F21-E21)/E21</f>
        <v>-0.13904433921653034</v>
      </c>
      <c r="H21" s="229">
        <f>F21*H$3</f>
        <v>150</v>
      </c>
      <c r="I21" s="562">
        <f>F21+H21</f>
        <v>1150</v>
      </c>
      <c r="J21" s="271">
        <v>9100033030416</v>
      </c>
      <c r="K21" s="851">
        <f>+$F21*(1+'Unit tariffs'!$F$2)</f>
        <v>1057</v>
      </c>
      <c r="L21" s="852">
        <f>+$K21*(1+'Unit tariffs'!$F$2)</f>
        <v>1117.249</v>
      </c>
      <c r="M21" s="417">
        <f>+$L21*(1+'Unit tariffs'!$F$2)</f>
        <v>1180.9321929999999</v>
      </c>
      <c r="N21" s="781">
        <f>+$M21*(1+'Unit tariffs'!$F$2)</f>
        <v>1248.2453280009997</v>
      </c>
      <c r="O21" s="779" t="s">
        <v>633</v>
      </c>
      <c r="P21" s="779" t="s">
        <v>633</v>
      </c>
      <c r="Q21" s="779" t="s">
        <v>633</v>
      </c>
    </row>
    <row r="22" spans="1:17" x14ac:dyDescent="0.35">
      <c r="A22" s="269"/>
      <c r="B22" s="234"/>
      <c r="C22" s="222"/>
      <c r="D22" s="522"/>
      <c r="E22" s="606"/>
      <c r="F22" s="862"/>
      <c r="G22" s="228"/>
      <c r="H22" s="229"/>
      <c r="I22" s="562"/>
      <c r="J22" s="271"/>
      <c r="K22" s="851"/>
      <c r="L22" s="852"/>
      <c r="M22" s="417"/>
      <c r="N22" s="781"/>
      <c r="O22" s="778"/>
      <c r="P22" s="778"/>
      <c r="Q22" s="778"/>
    </row>
    <row r="23" spans="1:17" ht="20.25" customHeight="1" x14ac:dyDescent="0.35">
      <c r="A23" s="269"/>
      <c r="B23" s="227" t="str">
        <f>'New Conn'!B254</f>
        <v xml:space="preserve">1.7  Subdivision  (Domestic): </v>
      </c>
      <c r="C23" s="222"/>
      <c r="D23" s="521"/>
      <c r="E23" s="606"/>
      <c r="F23" s="862"/>
      <c r="G23" s="228"/>
      <c r="H23" s="229"/>
      <c r="I23" s="562"/>
      <c r="J23" s="271"/>
      <c r="K23" s="851"/>
      <c r="L23" s="852"/>
      <c r="M23" s="417"/>
      <c r="N23" s="781"/>
      <c r="O23" s="778"/>
      <c r="P23" s="778"/>
      <c r="Q23" s="778"/>
    </row>
    <row r="24" spans="1:17" ht="30.75" customHeight="1" x14ac:dyDescent="0.35">
      <c r="A24" s="269"/>
      <c r="B24" s="221" t="str">
        <f>'New Conn'!B256</f>
        <v xml:space="preserve">    1.7.1 Subdivision Urban Area:  A new Single Phase Split pre-payment meter for domestic connection </v>
      </c>
      <c r="C24" s="222" t="s">
        <v>240</v>
      </c>
      <c r="D24" s="521">
        <f>'New Conn'!H287</f>
        <v>28540</v>
      </c>
      <c r="E24" s="606">
        <f t="shared" si="0"/>
        <v>32821</v>
      </c>
      <c r="F24" s="862">
        <f>'New Conn'!I287</f>
        <v>28360</v>
      </c>
      <c r="G24" s="228">
        <f>(F24-E24)/E24</f>
        <v>-0.13591907620121263</v>
      </c>
      <c r="H24" s="229">
        <f>F24*H$3</f>
        <v>4254</v>
      </c>
      <c r="I24" s="562">
        <f>F24+H24</f>
        <v>32614</v>
      </c>
      <c r="J24" s="271">
        <v>9100033030416</v>
      </c>
      <c r="K24" s="851">
        <f>+$F24*(1+'Unit tariffs'!$F$2)</f>
        <v>29976.519999999997</v>
      </c>
      <c r="L24" s="852">
        <f>+$K24*(1+'Unit tariffs'!$F$2)</f>
        <v>31685.181639999995</v>
      </c>
      <c r="M24" s="417">
        <f>+$L24*(1+'Unit tariffs'!$F$2)</f>
        <v>33491.236993479994</v>
      </c>
      <c r="N24" s="781">
        <f>+$M24*(1+'Unit tariffs'!$F$2)</f>
        <v>35400.23750210835</v>
      </c>
      <c r="O24" s="779" t="s">
        <v>633</v>
      </c>
      <c r="P24" s="779" t="s">
        <v>633</v>
      </c>
      <c r="Q24" s="779" t="s">
        <v>633</v>
      </c>
    </row>
    <row r="25" spans="1:17" ht="25.75" customHeight="1" x14ac:dyDescent="0.35">
      <c r="A25" s="269"/>
      <c r="B25" s="221" t="str">
        <f>'New Conn'!B292</f>
        <v xml:space="preserve">    1.7.2  Subdivision Pri Urban Area:  New Single Phase Split pre-payment meter connection in existing 11kV overhead line or  where 11kV overhead line needs to be    exteded up to 350m.</v>
      </c>
      <c r="C25" s="688" t="str">
        <f>'New Conn'!H292</f>
        <v xml:space="preserve">  [Mangaung - peri urban]</v>
      </c>
      <c r="D25" s="523">
        <f>'New Conn'!H323</f>
        <v>30890</v>
      </c>
      <c r="E25" s="606">
        <f t="shared" si="0"/>
        <v>35523.5</v>
      </c>
      <c r="F25" s="863">
        <f>'New Conn'!I323</f>
        <v>30690</v>
      </c>
      <c r="G25" s="228">
        <f t="shared" ref="G25:G87" si="1">(F25-E25)/E25</f>
        <v>-0.13606485847396793</v>
      </c>
      <c r="H25" s="229">
        <f t="shared" ref="H25:H87" si="2">F25*H$3</f>
        <v>4603.5</v>
      </c>
      <c r="I25" s="562">
        <f t="shared" ref="I25:I87" si="3">F25+H25</f>
        <v>35293.5</v>
      </c>
      <c r="J25" s="271">
        <v>9100033030417</v>
      </c>
      <c r="K25" s="851">
        <f>+$F25*(1+'Unit tariffs'!$F$2)</f>
        <v>32439.329999999998</v>
      </c>
      <c r="L25" s="852">
        <f>+$K25*(1+'Unit tariffs'!$F$2)</f>
        <v>34288.371809999997</v>
      </c>
      <c r="M25" s="417">
        <f>+$L25*(1+'Unit tariffs'!$F$2)</f>
        <v>36242.809003169998</v>
      </c>
      <c r="N25" s="781">
        <f>+$M25*(1+'Unit tariffs'!$F$2)</f>
        <v>38308.649116350687</v>
      </c>
      <c r="O25" s="778"/>
      <c r="P25" s="778"/>
      <c r="Q25" s="778"/>
    </row>
    <row r="26" spans="1:17" ht="36.25" customHeight="1" x14ac:dyDescent="0.35">
      <c r="A26" s="269"/>
      <c r="B26" s="221" t="str">
        <f>'New Conn'!B328</f>
        <v>1.7.3  Subdivision Pri Urban Area:  New Single Phase Split pre-payment meter connection in existing 11kV overhead line or  where 11kV overhead line needs to be exteded up to 350m.</v>
      </c>
      <c r="C26" s="222" t="str">
        <f>'New Conn'!H328</f>
        <v xml:space="preserve">  [Regional - peri urban]</v>
      </c>
      <c r="D26" s="523">
        <f>'New Conn'!H358</f>
        <v>22770</v>
      </c>
      <c r="E26" s="606">
        <f t="shared" si="0"/>
        <v>26185.499999999996</v>
      </c>
      <c r="F26" s="863">
        <f>'New Conn'!I358</f>
        <v>22620</v>
      </c>
      <c r="G26" s="228">
        <f t="shared" si="1"/>
        <v>-0.13616314372458027</v>
      </c>
      <c r="H26" s="229">
        <f t="shared" si="2"/>
        <v>3393</v>
      </c>
      <c r="I26" s="562">
        <f t="shared" si="3"/>
        <v>26013</v>
      </c>
      <c r="J26" s="271">
        <v>9100033030418</v>
      </c>
      <c r="K26" s="851">
        <f>+$F26*(1+'Unit tariffs'!$F$2)</f>
        <v>23909.34</v>
      </c>
      <c r="L26" s="852">
        <f>+$K26*(1+'Unit tariffs'!$F$2)</f>
        <v>25272.17238</v>
      </c>
      <c r="M26" s="417">
        <f>+$L26*(1+'Unit tariffs'!$F$2)</f>
        <v>26712.686205659997</v>
      </c>
      <c r="N26" s="781">
        <f>+$M26*(1+'Unit tariffs'!$F$2)</f>
        <v>28235.309319382613</v>
      </c>
      <c r="O26" s="778"/>
      <c r="P26" s="778"/>
      <c r="Q26" s="778"/>
    </row>
    <row r="27" spans="1:17" ht="29.5" customHeight="1" x14ac:dyDescent="0.35">
      <c r="A27" s="269"/>
      <c r="B27" s="221" t="str">
        <f>'New Conn'!B364</f>
        <v xml:space="preserve"> 1.7.4 Subdivision Peri Urban Area:  New Three Split pre-payment meter connection on the stand boundary, where 11kV overhead line needs to be exteded up to 350m at ADMD = 7,5KVA</v>
      </c>
      <c r="C27" s="222"/>
      <c r="D27" s="523" t="str">
        <f>'New Conn'!H366</f>
        <v>Actual estimated cost plus network contribution for 7.5kVA</v>
      </c>
      <c r="E27" s="606" t="str">
        <f>'New Conn'!I366</f>
        <v>Actual estimated cost plus network contribution for 7.5kVA</v>
      </c>
      <c r="F27" s="863" t="str">
        <f>'New Conn'!I366</f>
        <v>Actual estimated cost plus network contribution for 7.5kVA</v>
      </c>
      <c r="G27" s="228"/>
      <c r="H27" s="229"/>
      <c r="I27" s="562"/>
      <c r="J27" s="271"/>
      <c r="K27" s="876" t="str">
        <f>F27</f>
        <v>Actual estimated cost plus network contribution for 7.5kVA</v>
      </c>
      <c r="L27" s="882" t="str">
        <f>K27</f>
        <v>Actual estimated cost plus network contribution for 7.5kVA</v>
      </c>
      <c r="M27" s="417"/>
      <c r="N27" s="781"/>
      <c r="O27" s="778"/>
      <c r="P27" s="778"/>
      <c r="Q27" s="778"/>
    </row>
    <row r="28" spans="1:17" x14ac:dyDescent="0.35">
      <c r="A28" s="269"/>
      <c r="B28" s="221"/>
      <c r="C28" s="222"/>
      <c r="D28" s="523"/>
      <c r="E28" s="606"/>
      <c r="F28" s="863"/>
      <c r="G28" s="228"/>
      <c r="H28" s="229"/>
      <c r="I28" s="562"/>
      <c r="J28" s="271"/>
      <c r="K28" s="851"/>
      <c r="L28" s="852"/>
      <c r="M28" s="417"/>
      <c r="N28" s="781"/>
      <c r="O28" s="778"/>
      <c r="P28" s="778"/>
      <c r="Q28" s="778"/>
    </row>
    <row r="29" spans="1:17" ht="25" x14ac:dyDescent="0.35">
      <c r="A29" s="269"/>
      <c r="B29" s="830" t="str">
        <f>'New Conn'!B373</f>
        <v>1.8  SSEG Single Phase Time of Use kWh meter (Connection to an erf, where the development costs has been paid)</v>
      </c>
      <c r="C29" s="222" t="str">
        <f>'New Conn'!H373</f>
        <v>Peri/Urban area</v>
      </c>
      <c r="D29" s="523">
        <f>'New Conn'!H401</f>
        <v>8560</v>
      </c>
      <c r="E29" s="606">
        <f t="shared" si="0"/>
        <v>9844</v>
      </c>
      <c r="F29" s="863">
        <f>'New Conn'!I401</f>
        <v>8510</v>
      </c>
      <c r="G29" s="228">
        <f t="shared" si="1"/>
        <v>-0.13551401869158877</v>
      </c>
      <c r="H29" s="229">
        <f t="shared" si="2"/>
        <v>1276.5</v>
      </c>
      <c r="I29" s="562">
        <f t="shared" si="3"/>
        <v>9786.5</v>
      </c>
      <c r="J29" s="271">
        <v>9100033030421</v>
      </c>
      <c r="K29" s="851">
        <f>+$F29*(1+'Unit tariffs'!$F$2)</f>
        <v>8995.07</v>
      </c>
      <c r="L29" s="852">
        <f>+$K29*(1+'Unit tariffs'!$F$2)</f>
        <v>9507.7889899999991</v>
      </c>
      <c r="M29" s="417">
        <f>+$L29*(1+'Unit tariffs'!$F$2)</f>
        <v>10049.732962429998</v>
      </c>
      <c r="N29" s="781">
        <f>+$M29*(1+'Unit tariffs'!$F$2)</f>
        <v>10622.567741288507</v>
      </c>
      <c r="O29" s="778"/>
      <c r="P29" s="778"/>
      <c r="Q29" s="778"/>
    </row>
    <row r="30" spans="1:17" x14ac:dyDescent="0.35">
      <c r="A30" s="269"/>
      <c r="B30" s="221"/>
      <c r="C30" s="222"/>
      <c r="D30" s="523"/>
      <c r="E30" s="606"/>
      <c r="F30" s="863"/>
      <c r="G30" s="228"/>
      <c r="H30" s="229"/>
      <c r="I30" s="562"/>
      <c r="J30" s="271"/>
      <c r="K30" s="851"/>
      <c r="L30" s="852"/>
      <c r="M30" s="417"/>
      <c r="N30" s="781"/>
      <c r="O30" s="778"/>
      <c r="P30" s="778"/>
      <c r="Q30" s="778"/>
    </row>
    <row r="31" spans="1:17" ht="37.5" x14ac:dyDescent="0.35">
      <c r="A31" s="269"/>
      <c r="B31" s="830" t="str">
        <f>'New Conn'!B406</f>
        <v>1.9 Single phase Peri-Urban domestic connection with TOU kWh meter.  Supplied by 25kVA single phase transformer (80A) from 11kV overhead line   (where an 11kV line exists and is within the first 350m)</v>
      </c>
      <c r="C31" s="222" t="str">
        <f>'New Conn'!H406</f>
        <v xml:space="preserve">  [Mangaung - peri urban area]</v>
      </c>
      <c r="D31" s="523">
        <f>'New Conn'!H436</f>
        <v>31400</v>
      </c>
      <c r="E31" s="606">
        <f t="shared" si="0"/>
        <v>36110</v>
      </c>
      <c r="F31" s="863">
        <f>'New Conn'!I436</f>
        <v>31210</v>
      </c>
      <c r="G31" s="228">
        <f t="shared" si="1"/>
        <v>-0.13569648296870673</v>
      </c>
      <c r="H31" s="229">
        <f t="shared" si="2"/>
        <v>4681.5</v>
      </c>
      <c r="I31" s="562">
        <f t="shared" si="3"/>
        <v>35891.5</v>
      </c>
      <c r="J31" s="271">
        <v>9100033030423</v>
      </c>
      <c r="K31" s="851">
        <f>+$F31*(1+'Unit tariffs'!$F$2)</f>
        <v>32988.97</v>
      </c>
      <c r="L31" s="852">
        <f>+$K31*(1+'Unit tariffs'!$F$2)</f>
        <v>34869.341289999997</v>
      </c>
      <c r="M31" s="417">
        <f>+$L31*(1+'Unit tariffs'!$F$2)</f>
        <v>36856.893743529996</v>
      </c>
      <c r="N31" s="781">
        <f>+$M31*(1+'Unit tariffs'!$F$2)</f>
        <v>38957.736686911201</v>
      </c>
      <c r="O31" s="778"/>
      <c r="P31" s="778"/>
      <c r="Q31" s="778"/>
    </row>
    <row r="32" spans="1:17" x14ac:dyDescent="0.35">
      <c r="A32" s="269"/>
      <c r="B32" s="221"/>
      <c r="C32" s="222"/>
      <c r="D32" s="523"/>
      <c r="E32" s="606"/>
      <c r="F32" s="863"/>
      <c r="G32" s="228"/>
      <c r="H32" s="229"/>
      <c r="I32" s="562"/>
      <c r="J32" s="271"/>
      <c r="K32" s="851"/>
      <c r="L32" s="852"/>
      <c r="M32" s="417"/>
      <c r="N32" s="781"/>
      <c r="O32" s="778"/>
      <c r="P32" s="778"/>
      <c r="Q32" s="778"/>
    </row>
    <row r="33" spans="1:17" ht="37.5" x14ac:dyDescent="0.35">
      <c r="A33" s="269"/>
      <c r="B33" s="830" t="str">
        <f>'New Conn'!B443</f>
        <v>1.10 Single phase Peri-Urban domestic connection - Prepayment meter. - Supplied by 25kVA single phase Trfr (80A) from 11kV overhead line   (where an 11kV line exists and is within the first 350m)</v>
      </c>
      <c r="C33" s="222" t="str">
        <f>'New Conn'!H443</f>
        <v xml:space="preserve">  [Regional - peri urban area]</v>
      </c>
      <c r="D33" s="523">
        <f>'New Conn'!H475</f>
        <v>24520</v>
      </c>
      <c r="E33" s="606">
        <f t="shared" si="0"/>
        <v>28197.999999999996</v>
      </c>
      <c r="F33" s="863">
        <f>'New Conn'!I475</f>
        <v>24370</v>
      </c>
      <c r="G33" s="228">
        <f t="shared" si="1"/>
        <v>-0.13575430881622799</v>
      </c>
      <c r="H33" s="229">
        <f t="shared" si="2"/>
        <v>3655.5</v>
      </c>
      <c r="I33" s="562">
        <f t="shared" si="3"/>
        <v>28025.5</v>
      </c>
      <c r="J33" s="271">
        <v>9100033030425</v>
      </c>
      <c r="K33" s="851">
        <f>+$F33*(1+'Unit tariffs'!$F$2)</f>
        <v>25759.09</v>
      </c>
      <c r="L33" s="852">
        <f>+$K33*(1+'Unit tariffs'!$F$2)</f>
        <v>27227.358129999997</v>
      </c>
      <c r="M33" s="417">
        <f>+$L33*(1+'Unit tariffs'!$F$2)</f>
        <v>28779.317543409994</v>
      </c>
      <c r="N33" s="781">
        <f>+$M33*(1+'Unit tariffs'!$F$2)</f>
        <v>30419.73864338436</v>
      </c>
      <c r="O33" s="778"/>
      <c r="P33" s="778"/>
      <c r="Q33" s="778"/>
    </row>
    <row r="34" spans="1:17" x14ac:dyDescent="0.35">
      <c r="A34" s="269"/>
      <c r="B34" s="221"/>
      <c r="C34" s="222"/>
      <c r="D34" s="523"/>
      <c r="E34" s="606"/>
      <c r="F34" s="863"/>
      <c r="G34" s="228"/>
      <c r="H34" s="229"/>
      <c r="I34" s="562"/>
      <c r="J34" s="271"/>
      <c r="K34" s="851"/>
      <c r="L34" s="852"/>
      <c r="M34" s="417"/>
      <c r="N34" s="781"/>
      <c r="O34" s="778"/>
      <c r="P34" s="778"/>
      <c r="Q34" s="778"/>
    </row>
    <row r="35" spans="1:17" ht="25" x14ac:dyDescent="0.35">
      <c r="A35" s="269"/>
      <c r="B35" s="830" t="str">
        <f>'New Conn'!B483</f>
        <v>1.11  Additional  Meters Peri-Urban Area:  1x 1ph  Split pre-paid meter connection- limited up to 200kVA, LV per Erf. If more than one (1) meter is reuested, a cost estimate will be done.</v>
      </c>
      <c r="C35" s="222" t="str">
        <f>'New Conn'!H483</f>
        <v xml:space="preserve">  [Peri - urban area]</v>
      </c>
      <c r="D35" s="523">
        <f>'New Conn'!H508</f>
        <v>4160</v>
      </c>
      <c r="E35" s="606">
        <f t="shared" si="0"/>
        <v>4784</v>
      </c>
      <c r="F35" s="863">
        <f>'New Conn'!I508</f>
        <v>4140</v>
      </c>
      <c r="G35" s="228">
        <f t="shared" si="1"/>
        <v>-0.13461538461538461</v>
      </c>
      <c r="H35" s="229">
        <f t="shared" si="2"/>
        <v>621</v>
      </c>
      <c r="I35" s="562">
        <f t="shared" si="3"/>
        <v>4761</v>
      </c>
      <c r="J35" s="271">
        <v>9100033030427</v>
      </c>
      <c r="K35" s="851">
        <f>+$F35*(1+'Unit tariffs'!$F$2)</f>
        <v>4375.9799999999996</v>
      </c>
      <c r="L35" s="852">
        <f>+$K35*(1+'Unit tariffs'!$F$2)</f>
        <v>4625.410859999999</v>
      </c>
      <c r="M35" s="417">
        <f>+$L35*(1+'Unit tariffs'!$F$2)</f>
        <v>4889.0592790199989</v>
      </c>
      <c r="N35" s="781">
        <f>+$M35*(1+'Unit tariffs'!$F$2)</f>
        <v>5167.7356579241386</v>
      </c>
      <c r="O35" s="778"/>
      <c r="P35" s="778"/>
      <c r="Q35" s="778"/>
    </row>
    <row r="36" spans="1:17" x14ac:dyDescent="0.35">
      <c r="A36" s="269"/>
      <c r="B36" s="221"/>
      <c r="C36" s="222"/>
      <c r="D36" s="523"/>
      <c r="E36" s="606"/>
      <c r="F36" s="863"/>
      <c r="G36" s="228"/>
      <c r="H36" s="229"/>
      <c r="I36" s="562"/>
      <c r="J36" s="271"/>
      <c r="K36" s="851"/>
      <c r="L36" s="852"/>
      <c r="M36" s="417"/>
      <c r="N36" s="781"/>
      <c r="O36" s="778"/>
      <c r="P36" s="778"/>
      <c r="Q36" s="778"/>
    </row>
    <row r="37" spans="1:17" ht="25" x14ac:dyDescent="0.35">
      <c r="A37" s="269"/>
      <c r="B37" s="830" t="str">
        <f>'New Conn'!B514</f>
        <v>1.12  Additional  Meters Urban Area:  1x 1ph  Split pre-paid meter connection- limited up to 500kVA, LV per Erf. If more than one (1) meter is reuested, a cost estimate will be done.</v>
      </c>
      <c r="C37" s="222" t="str">
        <f>'New Conn'!H514</f>
        <v xml:space="preserve">  [Urban area]</v>
      </c>
      <c r="D37" s="523">
        <f>'New Conn'!H536</f>
        <v>2940</v>
      </c>
      <c r="E37" s="606">
        <f t="shared" si="0"/>
        <v>3380.9999999999995</v>
      </c>
      <c r="F37" s="863">
        <f>'New Conn'!I536</f>
        <v>2930</v>
      </c>
      <c r="G37" s="228">
        <f t="shared" si="1"/>
        <v>-0.1333924874297544</v>
      </c>
      <c r="H37" s="229">
        <f t="shared" si="2"/>
        <v>439.5</v>
      </c>
      <c r="I37" s="562">
        <f t="shared" si="3"/>
        <v>3369.5</v>
      </c>
      <c r="J37" s="271">
        <v>9100033030429</v>
      </c>
      <c r="K37" s="851">
        <f>+$F37*(1+'Unit tariffs'!$F$2)</f>
        <v>3097.0099999999998</v>
      </c>
      <c r="L37" s="852">
        <f>+$K37*(1+'Unit tariffs'!$F$2)</f>
        <v>3273.5395699999995</v>
      </c>
      <c r="M37" s="417">
        <f>+$L37*(1+'Unit tariffs'!$F$2)</f>
        <v>3460.1313254899992</v>
      </c>
      <c r="N37" s="781">
        <f>+$M37*(1+'Unit tariffs'!$F$2)</f>
        <v>3657.3588110429291</v>
      </c>
      <c r="O37" s="778"/>
      <c r="P37" s="778"/>
      <c r="Q37" s="778"/>
    </row>
    <row r="38" spans="1:17" x14ac:dyDescent="0.35">
      <c r="A38" s="269"/>
      <c r="B38" s="221"/>
      <c r="C38" s="222"/>
      <c r="D38" s="523"/>
      <c r="E38" s="606"/>
      <c r="F38" s="863"/>
      <c r="G38" s="228"/>
      <c r="H38" s="229"/>
      <c r="I38" s="562"/>
      <c r="J38" s="271"/>
      <c r="K38" s="851"/>
      <c r="L38" s="852"/>
      <c r="M38" s="417"/>
      <c r="N38" s="781"/>
      <c r="O38" s="778"/>
      <c r="P38" s="778"/>
      <c r="Q38" s="778"/>
    </row>
    <row r="39" spans="1:17" x14ac:dyDescent="0.35">
      <c r="A39" s="269"/>
      <c r="B39" s="227" t="str">
        <f>'New Conn'!B546</f>
        <v>2. NEW THREE PHASE DOMESTIC CONNECTIONS</v>
      </c>
      <c r="C39" s="222"/>
      <c r="D39" s="523"/>
      <c r="E39" s="606"/>
      <c r="F39" s="863"/>
      <c r="G39" s="228"/>
      <c r="H39" s="229"/>
      <c r="I39" s="562"/>
      <c r="J39" s="271"/>
      <c r="K39" s="851"/>
      <c r="L39" s="852"/>
      <c r="M39" s="417"/>
      <c r="N39" s="781"/>
      <c r="O39" s="778"/>
      <c r="P39" s="778"/>
      <c r="Q39" s="778"/>
    </row>
    <row r="40" spans="1:17" x14ac:dyDescent="0.35">
      <c r="A40" s="269"/>
      <c r="B40" s="221"/>
      <c r="C40" s="222"/>
      <c r="D40" s="523"/>
      <c r="E40" s="606"/>
      <c r="F40" s="863"/>
      <c r="G40" s="228"/>
      <c r="H40" s="229"/>
      <c r="I40" s="562"/>
      <c r="J40" s="271"/>
      <c r="K40" s="851"/>
      <c r="L40" s="852"/>
      <c r="M40" s="417"/>
      <c r="N40" s="781"/>
      <c r="O40" s="778"/>
      <c r="P40" s="778"/>
      <c r="Q40" s="778"/>
    </row>
    <row r="41" spans="1:17" ht="37.5" x14ac:dyDescent="0.35">
      <c r="A41" s="269"/>
      <c r="B41" s="830" t="str">
        <f>'New Conn'!B549</f>
        <v>2.1 Three phase domestic connection (80A) in meter box,  Time of use (TOU) meter :  Connection in meter box placed on stand boundary (Connection to an erf, where the development costs has NOT been paid).</v>
      </c>
      <c r="C41" s="222" t="str">
        <f>'New Conn'!H549</f>
        <v xml:space="preserve"> [Mangaung - Urban]</v>
      </c>
      <c r="D41" s="523">
        <f>'New Conn'!H584</f>
        <v>30080</v>
      </c>
      <c r="E41" s="606">
        <f t="shared" si="0"/>
        <v>34592</v>
      </c>
      <c r="F41" s="863">
        <f>'New Conn'!I584</f>
        <v>29790</v>
      </c>
      <c r="G41" s="228">
        <f t="shared" si="1"/>
        <v>-0.13881822386679002</v>
      </c>
      <c r="H41" s="229">
        <f t="shared" si="2"/>
        <v>4468.5</v>
      </c>
      <c r="I41" s="562">
        <f t="shared" si="3"/>
        <v>34258.5</v>
      </c>
      <c r="J41" s="271">
        <v>9100033030433</v>
      </c>
      <c r="K41" s="851">
        <f>+$F41*(1+'Unit tariffs'!$F$2)</f>
        <v>31488.03</v>
      </c>
      <c r="L41" s="852">
        <f>+$K41*(1+'Unit tariffs'!$F$2)</f>
        <v>33282.847709999995</v>
      </c>
      <c r="M41" s="417">
        <f>+$L41*(1+'Unit tariffs'!$F$2)</f>
        <v>35179.970029469994</v>
      </c>
      <c r="N41" s="781">
        <f>+$M41*(1+'Unit tariffs'!$F$2)</f>
        <v>37185.228321149785</v>
      </c>
      <c r="O41" s="778"/>
      <c r="P41" s="778"/>
      <c r="Q41" s="778"/>
    </row>
    <row r="42" spans="1:17" x14ac:dyDescent="0.35">
      <c r="A42" s="269"/>
      <c r="B42" s="221"/>
      <c r="C42" s="222"/>
      <c r="D42" s="523"/>
      <c r="E42" s="606"/>
      <c r="F42" s="863"/>
      <c r="G42" s="228"/>
      <c r="H42" s="229"/>
      <c r="I42" s="562"/>
      <c r="J42" s="271"/>
      <c r="K42" s="851"/>
      <c r="L42" s="852"/>
      <c r="M42" s="417"/>
      <c r="N42" s="781"/>
      <c r="O42" s="778"/>
      <c r="P42" s="778"/>
      <c r="Q42" s="778"/>
    </row>
    <row r="43" spans="1:17" ht="37.5" x14ac:dyDescent="0.35">
      <c r="A43" s="269"/>
      <c r="B43" s="830" t="str">
        <f>'New Conn'!B590</f>
        <v xml:space="preserve">2.2 Three phase domestic connection (80A) in meter box,  Time of use (TOU) meter :  Connection in meter box placed on stand boundary  (Connection to an erf, where the development costs has NOT been paid) .                                 </v>
      </c>
      <c r="C43" s="222" t="str">
        <f>'New Conn'!H590</f>
        <v xml:space="preserve">  [Regional - Urban]</v>
      </c>
      <c r="D43" s="523">
        <f>'New Conn'!H618</f>
        <v>18740</v>
      </c>
      <c r="E43" s="606">
        <f t="shared" si="0"/>
        <v>21551</v>
      </c>
      <c r="F43" s="863">
        <f>'New Conn'!I618</f>
        <v>17660</v>
      </c>
      <c r="G43" s="228">
        <f t="shared" si="1"/>
        <v>-0.180548466428472</v>
      </c>
      <c r="H43" s="229">
        <f t="shared" si="2"/>
        <v>2649</v>
      </c>
      <c r="I43" s="562">
        <f t="shared" si="3"/>
        <v>20309</v>
      </c>
      <c r="J43" s="271">
        <v>9100033030435</v>
      </c>
      <c r="K43" s="851">
        <f>+$F43*(1+'Unit tariffs'!$F$2)</f>
        <v>18666.62</v>
      </c>
      <c r="L43" s="852">
        <f>+$K43*(1+'Unit tariffs'!$F$2)</f>
        <v>19730.617339999997</v>
      </c>
      <c r="M43" s="417">
        <f>+$L43*(1+'Unit tariffs'!$F$2)</f>
        <v>20855.262528379997</v>
      </c>
      <c r="N43" s="781">
        <f>+$M43*(1+'Unit tariffs'!$F$2)</f>
        <v>22044.012492497655</v>
      </c>
      <c r="O43" s="778"/>
      <c r="P43" s="778"/>
      <c r="Q43" s="778"/>
    </row>
    <row r="44" spans="1:17" x14ac:dyDescent="0.35">
      <c r="A44" s="269"/>
      <c r="B44" s="221"/>
      <c r="C44" s="222"/>
      <c r="D44" s="523"/>
      <c r="E44" s="606"/>
      <c r="F44" s="863"/>
      <c r="G44" s="228"/>
      <c r="H44" s="229"/>
      <c r="I44" s="562"/>
      <c r="J44" s="271"/>
      <c r="K44" s="851"/>
      <c r="L44" s="852"/>
      <c r="M44" s="417"/>
      <c r="N44" s="781"/>
      <c r="O44" s="778"/>
      <c r="P44" s="778"/>
      <c r="Q44" s="778"/>
    </row>
    <row r="45" spans="1:17" ht="37.5" x14ac:dyDescent="0.35">
      <c r="A45" s="269"/>
      <c r="B45" s="830" t="str">
        <f>'New Conn'!B626</f>
        <v>2.3 SSEG Three phase domestic connection (80A) in meter box,  Time of use (TOU) meter :  Connection in meter box placed on stand boundary . (Connection to an erf, where the development costs has NOT been paid).</v>
      </c>
      <c r="C45" s="222" t="str">
        <f>'New Conn'!H626</f>
        <v xml:space="preserve"> [Mangaung - Urban]</v>
      </c>
      <c r="D45" s="523">
        <f>'New Conn'!H661</f>
        <v>29710</v>
      </c>
      <c r="E45" s="606">
        <f t="shared" si="0"/>
        <v>34166.5</v>
      </c>
      <c r="F45" s="863">
        <f>'New Conn'!I661</f>
        <v>29420</v>
      </c>
      <c r="G45" s="228">
        <f t="shared" si="1"/>
        <v>-0.13892262889087265</v>
      </c>
      <c r="H45" s="229">
        <f t="shared" si="2"/>
        <v>4413</v>
      </c>
      <c r="I45" s="562">
        <f t="shared" si="3"/>
        <v>33833</v>
      </c>
      <c r="J45" s="271">
        <v>9100033030437</v>
      </c>
      <c r="K45" s="851">
        <f>+$F45*(1+'Unit tariffs'!$F$2)</f>
        <v>31096.94</v>
      </c>
      <c r="L45" s="852">
        <f>+$K45*(1+'Unit tariffs'!$F$2)</f>
        <v>32869.465579999996</v>
      </c>
      <c r="M45" s="417">
        <f>+$L45*(1+'Unit tariffs'!$F$2)</f>
        <v>34743.025118059995</v>
      </c>
      <c r="N45" s="781">
        <f>+$M45*(1+'Unit tariffs'!$F$2)</f>
        <v>36723.377549789409</v>
      </c>
      <c r="O45" s="778"/>
      <c r="P45" s="778"/>
      <c r="Q45" s="778"/>
    </row>
    <row r="46" spans="1:17" x14ac:dyDescent="0.35">
      <c r="A46" s="269"/>
      <c r="B46" s="221"/>
      <c r="C46" s="222"/>
      <c r="D46" s="523"/>
      <c r="E46" s="606"/>
      <c r="F46" s="863"/>
      <c r="G46" s="228"/>
      <c r="H46" s="229"/>
      <c r="I46" s="562"/>
      <c r="J46" s="271"/>
      <c r="K46" s="851"/>
      <c r="L46" s="852"/>
      <c r="M46" s="417"/>
      <c r="N46" s="781"/>
      <c r="O46" s="778"/>
      <c r="P46" s="778"/>
      <c r="Q46" s="778"/>
    </row>
    <row r="47" spans="1:17" ht="38.5" x14ac:dyDescent="0.35">
      <c r="A47" s="269"/>
      <c r="B47" s="221" t="str">
        <f>'New Conn'!B667</f>
        <v xml:space="preserve">2.4 SSEG Three phase domestic connection (80A) in meter box,  Time of use (TOU) meter :  Connection in meter box placed on stand boundary taken from (Connection to an erf, where the development costs has NOT been paid).                                    </v>
      </c>
      <c r="C47" s="222" t="str">
        <f>'New Conn'!H667</f>
        <v xml:space="preserve">  [Regional -  Urban area]</v>
      </c>
      <c r="D47" s="523">
        <f>'New Conn'!H695</f>
        <v>20460</v>
      </c>
      <c r="E47" s="606">
        <f t="shared" si="0"/>
        <v>23529</v>
      </c>
      <c r="F47" s="863">
        <f>'New Conn'!I695</f>
        <v>18840</v>
      </c>
      <c r="G47" s="228">
        <f t="shared" si="1"/>
        <v>-0.19928598750478133</v>
      </c>
      <c r="H47" s="229">
        <f t="shared" si="2"/>
        <v>2826</v>
      </c>
      <c r="I47" s="562">
        <f t="shared" si="3"/>
        <v>21666</v>
      </c>
      <c r="J47" s="271">
        <v>9100033030439</v>
      </c>
      <c r="K47" s="851">
        <f>+$F47*(1+'Unit tariffs'!$F$2)</f>
        <v>19913.879999999997</v>
      </c>
      <c r="L47" s="852">
        <f>+$K47*(1+'Unit tariffs'!$F$2)</f>
        <v>21048.971159999997</v>
      </c>
      <c r="M47" s="417">
        <f>+$L47*(1+'Unit tariffs'!$F$2)</f>
        <v>22248.762516119998</v>
      </c>
      <c r="N47" s="781">
        <f>+$M47*(1+'Unit tariffs'!$F$2)</f>
        <v>23516.941979538835</v>
      </c>
      <c r="O47" s="778"/>
      <c r="P47" s="778"/>
      <c r="Q47" s="778"/>
    </row>
    <row r="48" spans="1:17" x14ac:dyDescent="0.35">
      <c r="A48" s="269"/>
      <c r="B48" s="830"/>
      <c r="C48" s="222"/>
      <c r="D48" s="523"/>
      <c r="E48" s="606"/>
      <c r="F48" s="863"/>
      <c r="G48" s="228"/>
      <c r="H48" s="229"/>
      <c r="I48" s="562"/>
      <c r="J48" s="271"/>
      <c r="K48" s="851"/>
      <c r="L48" s="852"/>
      <c r="M48" s="417"/>
      <c r="N48" s="781"/>
      <c r="O48" s="778"/>
      <c r="P48" s="778"/>
      <c r="Q48" s="778"/>
    </row>
    <row r="49" spans="1:17" ht="25" x14ac:dyDescent="0.35">
      <c r="A49" s="269"/>
      <c r="B49" s="830" t="str">
        <f>'New Conn'!B700</f>
        <v>2.5 Three phase domestic connection in meter box, Split pre-payment meter (Connection to an erf, where the development costs has NOT been paid)</v>
      </c>
      <c r="C49" s="222" t="str">
        <f>'New Conn'!H700</f>
        <v xml:space="preserve">  [Mangaung - Urban]</v>
      </c>
      <c r="D49" s="523">
        <f>'New Conn'!H735</f>
        <v>30270</v>
      </c>
      <c r="E49" s="606">
        <f t="shared" si="0"/>
        <v>34810.5</v>
      </c>
      <c r="F49" s="863">
        <f>'New Conn'!I735</f>
        <v>30270</v>
      </c>
      <c r="G49" s="228">
        <f t="shared" si="1"/>
        <v>-0.13043478260869565</v>
      </c>
      <c r="H49" s="229">
        <f t="shared" si="2"/>
        <v>4540.5</v>
      </c>
      <c r="I49" s="562">
        <f t="shared" si="3"/>
        <v>34810.5</v>
      </c>
      <c r="J49" s="271">
        <v>9100033030441</v>
      </c>
      <c r="K49" s="851">
        <f>+$F49*(1+'Unit tariffs'!$F$2)</f>
        <v>31995.39</v>
      </c>
      <c r="L49" s="852">
        <f>+$K49*(1+'Unit tariffs'!$F$2)</f>
        <v>33819.127229999998</v>
      </c>
      <c r="M49" s="417">
        <f>+$L49*(1+'Unit tariffs'!$F$2)</f>
        <v>35746.817482109996</v>
      </c>
      <c r="N49" s="781">
        <f>+$M49*(1+'Unit tariffs'!$F$2)</f>
        <v>37784.386078590265</v>
      </c>
      <c r="O49" s="778"/>
      <c r="P49" s="778"/>
      <c r="Q49" s="778"/>
    </row>
    <row r="50" spans="1:17" x14ac:dyDescent="0.35">
      <c r="A50" s="269"/>
      <c r="B50" s="221"/>
      <c r="C50" s="222"/>
      <c r="D50" s="523"/>
      <c r="E50" s="606"/>
      <c r="F50" s="863"/>
      <c r="G50" s="228"/>
      <c r="H50" s="229"/>
      <c r="I50" s="562"/>
      <c r="J50" s="271"/>
      <c r="K50" s="851"/>
      <c r="L50" s="852"/>
      <c r="M50" s="417"/>
      <c r="N50" s="781"/>
      <c r="O50" s="778"/>
      <c r="P50" s="778"/>
      <c r="Q50" s="778"/>
    </row>
    <row r="51" spans="1:17" ht="25" x14ac:dyDescent="0.35">
      <c r="A51" s="269"/>
      <c r="B51" s="830" t="str">
        <f>'New Conn'!B742</f>
        <v>2.6 Three phase domestic connection in meter box, Split pre-payment meter. (Connection to an erf, where the development costs has NOT been paid)</v>
      </c>
      <c r="C51" s="222" t="str">
        <f>'New Conn'!H742</f>
        <v xml:space="preserve">  [Regional - Urban]</v>
      </c>
      <c r="D51" s="523">
        <f>'New Conn'!H773</f>
        <v>18420</v>
      </c>
      <c r="E51" s="606">
        <f t="shared" si="0"/>
        <v>21183</v>
      </c>
      <c r="F51" s="863">
        <f>'New Conn'!I773</f>
        <v>18420</v>
      </c>
      <c r="G51" s="228">
        <f t="shared" si="1"/>
        <v>-0.13043478260869565</v>
      </c>
      <c r="H51" s="229">
        <f t="shared" si="2"/>
        <v>2763</v>
      </c>
      <c r="I51" s="562">
        <f t="shared" si="3"/>
        <v>21183</v>
      </c>
      <c r="J51" s="271">
        <v>9100033030443</v>
      </c>
      <c r="K51" s="851">
        <f>+$F51*(1+'Unit tariffs'!$F$2)</f>
        <v>19469.939999999999</v>
      </c>
      <c r="L51" s="852">
        <f>+$K51*(1+'Unit tariffs'!$F$2)</f>
        <v>20579.726579999999</v>
      </c>
      <c r="M51" s="417">
        <f>+$L51*(1+'Unit tariffs'!$F$2)</f>
        <v>21752.770995059996</v>
      </c>
      <c r="N51" s="781">
        <f>+$M51*(1+'Unit tariffs'!$F$2)</f>
        <v>22992.678941778417</v>
      </c>
      <c r="O51" s="778"/>
      <c r="P51" s="778"/>
      <c r="Q51" s="778"/>
    </row>
    <row r="52" spans="1:17" x14ac:dyDescent="0.35">
      <c r="A52" s="269"/>
      <c r="B52" s="221"/>
      <c r="C52" s="222"/>
      <c r="D52" s="523"/>
      <c r="E52" s="606"/>
      <c r="F52" s="863"/>
      <c r="G52" s="228"/>
      <c r="H52" s="229"/>
      <c r="I52" s="562"/>
      <c r="J52" s="271"/>
      <c r="K52" s="851"/>
      <c r="L52" s="852"/>
      <c r="M52" s="417"/>
      <c r="N52" s="781"/>
      <c r="O52" s="778"/>
      <c r="P52" s="778"/>
      <c r="Q52" s="778"/>
    </row>
    <row r="53" spans="1:17" ht="37.5" x14ac:dyDescent="0.35">
      <c r="A53" s="269"/>
      <c r="B53" s="830" t="str">
        <f>'New Conn'!B776</f>
        <v>2.7 Three phase domestic connection (80A) in meter box,  Time of use (TOU) meter :  Connection in meter box placed on stand boundary (Connection to an erf, where the development costs has been paid [5kVA]).</v>
      </c>
      <c r="C53" s="222" t="str">
        <f>'New Conn'!H776</f>
        <v xml:space="preserve"> [Mangaung - Urban]</v>
      </c>
      <c r="D53" s="523">
        <f>'New Conn'!H811</f>
        <v>11890</v>
      </c>
      <c r="E53" s="606">
        <f t="shared" si="0"/>
        <v>13673.499999999998</v>
      </c>
      <c r="F53" s="863">
        <f>'New Conn'!I811</f>
        <v>11890</v>
      </c>
      <c r="G53" s="228">
        <f t="shared" si="1"/>
        <v>-0.13043478260869554</v>
      </c>
      <c r="H53" s="229">
        <f t="shared" si="2"/>
        <v>1783.5</v>
      </c>
      <c r="I53" s="562">
        <f t="shared" si="3"/>
        <v>13673.5</v>
      </c>
      <c r="J53" s="271">
        <v>9100033030445</v>
      </c>
      <c r="K53" s="851">
        <f>+$F53*(1+'Unit tariffs'!$F$2)</f>
        <v>12567.73</v>
      </c>
      <c r="L53" s="852">
        <f>+$K53*(1+'Unit tariffs'!$F$2)</f>
        <v>13284.090609999999</v>
      </c>
      <c r="M53" s="417">
        <f>+$L53*(1+'Unit tariffs'!$F$2)</f>
        <v>14041.283774769998</v>
      </c>
      <c r="N53" s="781">
        <f>+$M53*(1+'Unit tariffs'!$F$2)</f>
        <v>14841.636949931886</v>
      </c>
      <c r="O53" s="778"/>
      <c r="P53" s="778"/>
      <c r="Q53" s="778"/>
    </row>
    <row r="54" spans="1:17" x14ac:dyDescent="0.35">
      <c r="A54" s="269"/>
      <c r="B54" s="221"/>
      <c r="C54" s="222"/>
      <c r="D54" s="523"/>
      <c r="E54" s="606"/>
      <c r="F54" s="863"/>
      <c r="G54" s="228"/>
      <c r="H54" s="229"/>
      <c r="I54" s="562"/>
      <c r="J54" s="271"/>
      <c r="K54" s="851"/>
      <c r="L54" s="852"/>
      <c r="M54" s="417"/>
      <c r="N54" s="781"/>
      <c r="O54" s="778"/>
      <c r="P54" s="778"/>
      <c r="Q54" s="778"/>
    </row>
    <row r="55" spans="1:17" ht="37.5" x14ac:dyDescent="0.35">
      <c r="A55" s="269"/>
      <c r="B55" s="830" t="str">
        <f>'New Conn'!B817</f>
        <v xml:space="preserve">2.8 Three phase domestic connection (80A) in meter box,  Time of use (TOU) meter :  Connection in meter box placed on stand boundary  (Connection to an erf, where the development costs has been paid [5kVA]).                                 </v>
      </c>
      <c r="C55" s="222" t="str">
        <f>'New Conn'!H817</f>
        <v xml:space="preserve">  [Regional - Urban]</v>
      </c>
      <c r="D55" s="523">
        <f>'New Conn'!H845</f>
        <v>9110</v>
      </c>
      <c r="E55" s="606">
        <f t="shared" si="0"/>
        <v>10476.5</v>
      </c>
      <c r="F55" s="863">
        <f>'New Conn'!I845</f>
        <v>8030</v>
      </c>
      <c r="G55" s="228">
        <f t="shared" si="1"/>
        <v>-0.23352264592182503</v>
      </c>
      <c r="H55" s="229">
        <f t="shared" si="2"/>
        <v>1204.5</v>
      </c>
      <c r="I55" s="562">
        <f t="shared" si="3"/>
        <v>9234.5</v>
      </c>
      <c r="J55" s="271">
        <v>9100033030447</v>
      </c>
      <c r="K55" s="851">
        <f>+$F55*(1+'Unit tariffs'!$F$2)</f>
        <v>8487.7099999999991</v>
      </c>
      <c r="L55" s="852">
        <f>+$K55*(1+'Unit tariffs'!$F$2)</f>
        <v>8971.5094699999991</v>
      </c>
      <c r="M55" s="417">
        <f>+$L55*(1+'Unit tariffs'!$F$2)</f>
        <v>9482.8855097899977</v>
      </c>
      <c r="N55" s="781">
        <f>+$M55*(1+'Unit tariffs'!$F$2)</f>
        <v>10023.409983848027</v>
      </c>
      <c r="O55" s="778"/>
      <c r="P55" s="778"/>
      <c r="Q55" s="778"/>
    </row>
    <row r="56" spans="1:17" x14ac:dyDescent="0.35">
      <c r="A56" s="269"/>
      <c r="B56" s="221"/>
      <c r="C56" s="222"/>
      <c r="D56" s="523"/>
      <c r="E56" s="606"/>
      <c r="F56" s="863"/>
      <c r="G56" s="228"/>
      <c r="H56" s="229"/>
      <c r="I56" s="562"/>
      <c r="J56" s="271"/>
      <c r="K56" s="851"/>
      <c r="L56" s="852"/>
      <c r="M56" s="417"/>
      <c r="N56" s="781"/>
      <c r="O56" s="778"/>
      <c r="P56" s="778"/>
      <c r="Q56" s="778"/>
    </row>
    <row r="57" spans="1:17" ht="37.5" x14ac:dyDescent="0.35">
      <c r="A57" s="269"/>
      <c r="B57" s="830" t="str">
        <f>'New Conn'!B853</f>
        <v>2.9 SSEG Three phase domestic connection (80A) in meter box,  Time of use (TOU) meter :  Connection in meter box placed on stand boundary . (Connection to an erf, where the development costs has been paid [5kVA]).</v>
      </c>
      <c r="C57" s="222" t="str">
        <f>'New Conn'!H853</f>
        <v xml:space="preserve"> [Mangaung - Urban]</v>
      </c>
      <c r="D57" s="523">
        <f>'New Conn'!H888</f>
        <v>11890</v>
      </c>
      <c r="E57" s="606">
        <f t="shared" si="0"/>
        <v>13673.499999999998</v>
      </c>
      <c r="F57" s="863">
        <f>'New Conn'!I888</f>
        <v>11890</v>
      </c>
      <c r="G57" s="228">
        <f t="shared" si="1"/>
        <v>-0.13043478260869554</v>
      </c>
      <c r="H57" s="229">
        <f t="shared" si="2"/>
        <v>1783.5</v>
      </c>
      <c r="I57" s="562">
        <f t="shared" si="3"/>
        <v>13673.5</v>
      </c>
      <c r="J57" s="271">
        <v>9100033030449</v>
      </c>
      <c r="K57" s="851">
        <f>+$F57*(1+'Unit tariffs'!$F$2)</f>
        <v>12567.73</v>
      </c>
      <c r="L57" s="852">
        <f>+$K57*(1+'Unit tariffs'!$F$2)</f>
        <v>13284.090609999999</v>
      </c>
      <c r="M57" s="417">
        <f>+$L57*(1+'Unit tariffs'!$F$2)</f>
        <v>14041.283774769998</v>
      </c>
      <c r="N57" s="781">
        <f>+$M57*(1+'Unit tariffs'!$F$2)</f>
        <v>14841.636949931886</v>
      </c>
      <c r="O57" s="778"/>
      <c r="P57" s="778"/>
      <c r="Q57" s="778"/>
    </row>
    <row r="58" spans="1:17" x14ac:dyDescent="0.35">
      <c r="A58" s="269"/>
      <c r="B58" s="221"/>
      <c r="C58" s="222"/>
      <c r="D58" s="523"/>
      <c r="E58" s="606"/>
      <c r="F58" s="863"/>
      <c r="G58" s="228"/>
      <c r="H58" s="229"/>
      <c r="I58" s="562"/>
      <c r="J58" s="271"/>
      <c r="K58" s="851"/>
      <c r="L58" s="852"/>
      <c r="M58" s="417"/>
      <c r="N58" s="781"/>
      <c r="O58" s="778"/>
      <c r="P58" s="778"/>
      <c r="Q58" s="778"/>
    </row>
    <row r="59" spans="1:17" ht="37.5" x14ac:dyDescent="0.35">
      <c r="A59" s="269"/>
      <c r="B59" s="830" t="str">
        <f>'New Conn'!B894</f>
        <v xml:space="preserve">2.10 SSEG Three phase domestic connection (80A) in meter box,  Time of use (TOU) meter :  Connection in meter box placed on stand boundary taken from (Connection to an erf, where the development costs has been paid [5kVA]).                                    </v>
      </c>
      <c r="C59" s="222" t="str">
        <f>'New Conn'!H894</f>
        <v xml:space="preserve">  [Regional -  Urban area]</v>
      </c>
      <c r="D59" s="523">
        <f>'New Conn'!H921</f>
        <v>9110</v>
      </c>
      <c r="E59" s="606">
        <f t="shared" si="0"/>
        <v>10476.5</v>
      </c>
      <c r="F59" s="863">
        <f>'New Conn'!I921</f>
        <v>8030</v>
      </c>
      <c r="G59" s="228">
        <f t="shared" si="1"/>
        <v>-0.23352264592182503</v>
      </c>
      <c r="H59" s="229">
        <f t="shared" si="2"/>
        <v>1204.5</v>
      </c>
      <c r="I59" s="562">
        <f t="shared" si="3"/>
        <v>9234.5</v>
      </c>
      <c r="J59" s="271">
        <v>9100033030451</v>
      </c>
      <c r="K59" s="851">
        <f>+$F59*(1+'Unit tariffs'!$F$2)</f>
        <v>8487.7099999999991</v>
      </c>
      <c r="L59" s="852">
        <f>+$K59*(1+'Unit tariffs'!$F$2)</f>
        <v>8971.5094699999991</v>
      </c>
      <c r="M59" s="417">
        <f>+$L59*(1+'Unit tariffs'!$F$2)</f>
        <v>9482.8855097899977</v>
      </c>
      <c r="N59" s="781">
        <f>+$M59*(1+'Unit tariffs'!$F$2)</f>
        <v>10023.409983848027</v>
      </c>
      <c r="O59" s="778"/>
      <c r="P59" s="778"/>
      <c r="Q59" s="778"/>
    </row>
    <row r="60" spans="1:17" x14ac:dyDescent="0.35">
      <c r="A60" s="269"/>
      <c r="B60" s="221"/>
      <c r="C60" s="222"/>
      <c r="D60" s="523"/>
      <c r="E60" s="606"/>
      <c r="F60" s="863"/>
      <c r="G60" s="228"/>
      <c r="H60" s="229"/>
      <c r="I60" s="562"/>
      <c r="J60" s="271"/>
      <c r="K60" s="851"/>
      <c r="L60" s="852"/>
      <c r="M60" s="417"/>
      <c r="N60" s="781"/>
      <c r="O60" s="778"/>
      <c r="P60" s="778"/>
      <c r="Q60" s="778"/>
    </row>
    <row r="61" spans="1:17" ht="25" x14ac:dyDescent="0.35">
      <c r="A61" s="269"/>
      <c r="B61" s="830" t="str">
        <f>'New Conn'!B926</f>
        <v>2.11 Three phase domestic connection in meter box, Split pre-payment meter (Connection to an erf, where the development costs has been paid [5kVA]).</v>
      </c>
      <c r="C61" s="222" t="str">
        <f>'New Conn'!H926</f>
        <v xml:space="preserve">  [Mangaung - Urban]</v>
      </c>
      <c r="D61" s="523">
        <f>'New Conn'!H961</f>
        <v>12740</v>
      </c>
      <c r="E61" s="606">
        <f t="shared" si="0"/>
        <v>14650.999999999998</v>
      </c>
      <c r="F61" s="863">
        <f>'New Conn'!I961</f>
        <v>12740</v>
      </c>
      <c r="G61" s="228">
        <f t="shared" si="1"/>
        <v>-0.13043478260869554</v>
      </c>
      <c r="H61" s="229">
        <f t="shared" si="2"/>
        <v>1911</v>
      </c>
      <c r="I61" s="562">
        <f t="shared" si="3"/>
        <v>14651</v>
      </c>
      <c r="J61" s="271">
        <v>9100033030453</v>
      </c>
      <c r="K61" s="851">
        <f>+$F61*(1+'Unit tariffs'!$F$2)</f>
        <v>13466.179999999998</v>
      </c>
      <c r="L61" s="852">
        <f>+$K61*(1+'Unit tariffs'!$F$2)</f>
        <v>14233.752259999997</v>
      </c>
      <c r="M61" s="417">
        <f>+$L61*(1+'Unit tariffs'!$F$2)</f>
        <v>15045.076138819997</v>
      </c>
      <c r="N61" s="781">
        <f>+$M61*(1+'Unit tariffs'!$F$2)</f>
        <v>15902.645478732737</v>
      </c>
      <c r="O61" s="778"/>
      <c r="P61" s="778"/>
      <c r="Q61" s="778"/>
    </row>
    <row r="62" spans="1:17" x14ac:dyDescent="0.35">
      <c r="A62" s="269"/>
      <c r="B62" s="221"/>
      <c r="C62" s="222"/>
      <c r="D62" s="523"/>
      <c r="E62" s="606"/>
      <c r="F62" s="863"/>
      <c r="G62" s="228"/>
      <c r="H62" s="229"/>
      <c r="I62" s="562"/>
      <c r="J62" s="271"/>
      <c r="K62" s="851"/>
      <c r="L62" s="852"/>
      <c r="M62" s="417"/>
      <c r="N62" s="781"/>
      <c r="O62" s="778"/>
      <c r="P62" s="778"/>
      <c r="Q62" s="778"/>
    </row>
    <row r="63" spans="1:17" ht="25" x14ac:dyDescent="0.35">
      <c r="A63" s="269"/>
      <c r="B63" s="830" t="str">
        <f>'New Conn'!B968</f>
        <v>2.12 Three phase domestic connection in meter box, Split pre-payment meter. (Connection to an erf, where the development costs has been paid [5kVA]).</v>
      </c>
      <c r="C63" s="222" t="str">
        <f>'New Conn'!H968</f>
        <v xml:space="preserve">  [Regional - Urban]</v>
      </c>
      <c r="D63" s="523">
        <f>'New Conn'!H999</f>
        <v>8800</v>
      </c>
      <c r="E63" s="606">
        <f t="shared" si="0"/>
        <v>10120</v>
      </c>
      <c r="F63" s="863">
        <f>'New Conn'!I999</f>
        <v>8800</v>
      </c>
      <c r="G63" s="228">
        <f t="shared" si="1"/>
        <v>-0.13043478260869565</v>
      </c>
      <c r="H63" s="229">
        <f t="shared" si="2"/>
        <v>1320</v>
      </c>
      <c r="I63" s="562">
        <f t="shared" si="3"/>
        <v>10120</v>
      </c>
      <c r="J63" s="271">
        <v>9100033030455</v>
      </c>
      <c r="K63" s="851">
        <f>+$F63*(1+'Unit tariffs'!$F$2)</f>
        <v>9301.6</v>
      </c>
      <c r="L63" s="852">
        <f>+$K63*(1+'Unit tariffs'!$F$2)</f>
        <v>9831.7911999999997</v>
      </c>
      <c r="M63" s="417">
        <f>+$L63*(1+'Unit tariffs'!$F$2)</f>
        <v>10392.2032984</v>
      </c>
      <c r="N63" s="781">
        <f>+$M63*(1+'Unit tariffs'!$F$2)</f>
        <v>10984.558886408799</v>
      </c>
      <c r="O63" s="778"/>
      <c r="P63" s="778"/>
      <c r="Q63" s="778"/>
    </row>
    <row r="64" spans="1:17" x14ac:dyDescent="0.35">
      <c r="A64" s="269"/>
      <c r="B64" s="221"/>
      <c r="C64" s="222"/>
      <c r="D64" s="523"/>
      <c r="E64" s="606"/>
      <c r="F64" s="863"/>
      <c r="G64" s="228"/>
      <c r="H64" s="229"/>
      <c r="I64" s="562"/>
      <c r="J64" s="271"/>
      <c r="K64" s="851"/>
      <c r="L64" s="852"/>
      <c r="M64" s="417"/>
      <c r="N64" s="781"/>
      <c r="O64" s="778"/>
      <c r="P64" s="778"/>
      <c r="Q64" s="778"/>
    </row>
    <row r="65" spans="1:17" ht="25" x14ac:dyDescent="0.35">
      <c r="A65" s="269"/>
      <c r="B65" s="830" t="str">
        <f>'New Conn'!B1005</f>
        <v>2.13  Additional  Meters Urban Area:  1x 3ph  Split pre-paid meter connection- limited up to 500kVA, LV per Erf. If more than one (1) meter is required, a cost estimate will be done.</v>
      </c>
      <c r="C65" s="222" t="str">
        <f>'New Conn'!H1005</f>
        <v xml:space="preserve">  [Urban area]</v>
      </c>
      <c r="D65" s="523">
        <f>'New Conn'!H1031</f>
        <v>3330</v>
      </c>
      <c r="E65" s="606">
        <f t="shared" si="0"/>
        <v>3829.4999999999995</v>
      </c>
      <c r="F65" s="863">
        <f>'New Conn'!I1031</f>
        <v>3330</v>
      </c>
      <c r="G65" s="228">
        <f t="shared" si="1"/>
        <v>-0.13043478260869554</v>
      </c>
      <c r="H65" s="229">
        <f t="shared" si="2"/>
        <v>499.5</v>
      </c>
      <c r="I65" s="562">
        <f t="shared" si="3"/>
        <v>3829.5</v>
      </c>
      <c r="J65" s="271">
        <v>9100033030457</v>
      </c>
      <c r="K65" s="851">
        <f>+$F65*(1+'Unit tariffs'!$F$2)</f>
        <v>3519.81</v>
      </c>
      <c r="L65" s="852">
        <f>+$K65*(1+'Unit tariffs'!$F$2)</f>
        <v>3720.4391699999996</v>
      </c>
      <c r="M65" s="417">
        <f>+$L65*(1+'Unit tariffs'!$F$2)</f>
        <v>3932.5042026899996</v>
      </c>
      <c r="N65" s="781">
        <f>+$M65*(1+'Unit tariffs'!$F$2)</f>
        <v>4156.6569422433295</v>
      </c>
      <c r="O65" s="778"/>
      <c r="P65" s="778"/>
      <c r="Q65" s="778"/>
    </row>
    <row r="66" spans="1:17" x14ac:dyDescent="0.35">
      <c r="A66" s="269"/>
      <c r="B66" s="221"/>
      <c r="C66" s="222"/>
      <c r="D66" s="523"/>
      <c r="E66" s="606"/>
      <c r="F66" s="863"/>
      <c r="G66" s="228"/>
      <c r="H66" s="229"/>
      <c r="I66" s="562"/>
      <c r="J66" s="271"/>
      <c r="K66" s="851"/>
      <c r="L66" s="852"/>
      <c r="M66" s="417"/>
      <c r="N66" s="781"/>
      <c r="O66" s="778"/>
      <c r="P66" s="778"/>
      <c r="Q66" s="778"/>
    </row>
    <row r="67" spans="1:17" ht="25" x14ac:dyDescent="0.35">
      <c r="A67" s="269"/>
      <c r="B67" s="830" t="str">
        <f>'New Conn'!B1039</f>
        <v>2.14  Additional  Meters Peri-Urban Area:  1x 3ph  Split pre-paid meter connection- limited up to 200kVA, LV per Erf. If more than one (1) meter is required, a cost estimate will be done.</v>
      </c>
      <c r="C67" s="222" t="str">
        <f>'New Conn'!H1039</f>
        <v xml:space="preserve">  [Peri - urban area]</v>
      </c>
      <c r="D67" s="523">
        <f>'New Conn'!H1065</f>
        <v>3330</v>
      </c>
      <c r="E67" s="606">
        <f t="shared" si="0"/>
        <v>3829.4999999999995</v>
      </c>
      <c r="F67" s="863">
        <f>'New Conn'!I1065</f>
        <v>3330</v>
      </c>
      <c r="G67" s="228">
        <f t="shared" si="1"/>
        <v>-0.13043478260869554</v>
      </c>
      <c r="H67" s="229">
        <f t="shared" si="2"/>
        <v>499.5</v>
      </c>
      <c r="I67" s="562">
        <f t="shared" si="3"/>
        <v>3829.5</v>
      </c>
      <c r="J67" s="271">
        <v>9100033030459</v>
      </c>
      <c r="K67" s="851">
        <f>+$F67*(1+'Unit tariffs'!$F$2)</f>
        <v>3519.81</v>
      </c>
      <c r="L67" s="852">
        <f>+$K67*(1+'Unit tariffs'!$F$2)</f>
        <v>3720.4391699999996</v>
      </c>
      <c r="M67" s="417">
        <f>+$L67*(1+'Unit tariffs'!$F$2)</f>
        <v>3932.5042026899996</v>
      </c>
      <c r="N67" s="781">
        <f>+$M67*(1+'Unit tariffs'!$F$2)</f>
        <v>4156.6569422433295</v>
      </c>
      <c r="O67" s="778"/>
      <c r="P67" s="778"/>
      <c r="Q67" s="778"/>
    </row>
    <row r="68" spans="1:17" x14ac:dyDescent="0.35">
      <c r="A68" s="269"/>
      <c r="B68" s="221"/>
      <c r="C68" s="222"/>
      <c r="D68" s="523"/>
      <c r="E68" s="606"/>
      <c r="F68" s="863"/>
      <c r="G68" s="228"/>
      <c r="H68" s="229"/>
      <c r="I68" s="562"/>
      <c r="J68" s="271"/>
      <c r="K68" s="851"/>
      <c r="L68" s="852"/>
      <c r="M68" s="417"/>
      <c r="N68" s="781"/>
      <c r="O68" s="778"/>
      <c r="P68" s="778"/>
      <c r="Q68" s="778"/>
    </row>
    <row r="69" spans="1:17" ht="37.5" x14ac:dyDescent="0.35">
      <c r="A69" s="269"/>
      <c r="B69" s="830" t="str">
        <f>'New Conn'!B1072</f>
        <v>2.15 Three phase domestic connection (80A) in meter box,  Time of use (TOU) meter :  Connection in meter box placed on stand boundary (Connection to an erf, where the development costs has NOT been paid).</v>
      </c>
      <c r="C69" s="222" t="str">
        <f>'New Conn'!H1072</f>
        <v xml:space="preserve"> [Mangaung - Peri urban]</v>
      </c>
      <c r="D69" s="523">
        <f>'New Conn'!H1104</f>
        <v>41290</v>
      </c>
      <c r="E69" s="606">
        <f t="shared" si="0"/>
        <v>47483.499999999993</v>
      </c>
      <c r="F69" s="863">
        <f>'New Conn'!I1104</f>
        <v>41290</v>
      </c>
      <c r="G69" s="228">
        <f t="shared" si="1"/>
        <v>-0.13043478260869551</v>
      </c>
      <c r="H69" s="229">
        <f t="shared" si="2"/>
        <v>6193.5</v>
      </c>
      <c r="I69" s="562">
        <f t="shared" si="3"/>
        <v>47483.5</v>
      </c>
      <c r="J69" s="271">
        <v>9100033030461</v>
      </c>
      <c r="K69" s="851">
        <f>+$F69*(1+'Unit tariffs'!$F$2)</f>
        <v>43643.53</v>
      </c>
      <c r="L69" s="852">
        <f>+$K69*(1+'Unit tariffs'!$F$2)</f>
        <v>46131.211209999994</v>
      </c>
      <c r="M69" s="417">
        <f>+$L69*(1+'Unit tariffs'!$F$2)</f>
        <v>48760.690248969993</v>
      </c>
      <c r="N69" s="781">
        <f>+$M69*(1+'Unit tariffs'!$F$2)</f>
        <v>51540.049593161282</v>
      </c>
      <c r="O69" s="778"/>
      <c r="P69" s="778"/>
      <c r="Q69" s="778"/>
    </row>
    <row r="70" spans="1:17" x14ac:dyDescent="0.35">
      <c r="A70" s="269"/>
      <c r="B70" s="221"/>
      <c r="C70" s="222"/>
      <c r="D70" s="523"/>
      <c r="E70" s="606"/>
      <c r="F70" s="863"/>
      <c r="G70" s="228"/>
      <c r="H70" s="229"/>
      <c r="I70" s="562"/>
      <c r="J70" s="271"/>
      <c r="K70" s="851"/>
      <c r="L70" s="852"/>
      <c r="M70" s="417"/>
      <c r="N70" s="781"/>
      <c r="O70" s="778"/>
      <c r="P70" s="778"/>
      <c r="Q70" s="778"/>
    </row>
    <row r="71" spans="1:17" ht="37.5" x14ac:dyDescent="0.35">
      <c r="A71" s="269"/>
      <c r="B71" s="830" t="str">
        <f>'New Conn'!B1110</f>
        <v xml:space="preserve">2.16 Three phase domestic connection (80A) in meter box,  Time of use (TOU) meter :  Connection in meter box placed on stand boundary  (Connection to an erf, where the development costs has NOT been paid) .                                 </v>
      </c>
      <c r="C71" s="222" t="str">
        <f>'New Conn'!H1110</f>
        <v xml:space="preserve">  [Regional - Peri urban]</v>
      </c>
      <c r="D71" s="523">
        <f>'New Conn'!H1137</f>
        <v>18740</v>
      </c>
      <c r="E71" s="606">
        <f t="shared" si="0"/>
        <v>21551</v>
      </c>
      <c r="F71" s="863">
        <f>'New Conn'!I1137</f>
        <v>17660</v>
      </c>
      <c r="G71" s="228">
        <f t="shared" si="1"/>
        <v>-0.180548466428472</v>
      </c>
      <c r="H71" s="229">
        <f t="shared" si="2"/>
        <v>2649</v>
      </c>
      <c r="I71" s="562">
        <f t="shared" si="3"/>
        <v>20309</v>
      </c>
      <c r="J71" s="271">
        <v>9100033030463</v>
      </c>
      <c r="K71" s="851">
        <f>+$F71*(1+'Unit tariffs'!$F$2)</f>
        <v>18666.62</v>
      </c>
      <c r="L71" s="852">
        <f>+$K71*(1+'Unit tariffs'!$F$2)</f>
        <v>19730.617339999997</v>
      </c>
      <c r="M71" s="417">
        <f>+$L71*(1+'Unit tariffs'!$F$2)</f>
        <v>20855.262528379997</v>
      </c>
      <c r="N71" s="781">
        <f>+$M71*(1+'Unit tariffs'!$F$2)</f>
        <v>22044.012492497655</v>
      </c>
      <c r="O71" s="778"/>
      <c r="P71" s="778"/>
      <c r="Q71" s="778"/>
    </row>
    <row r="72" spans="1:17" x14ac:dyDescent="0.35">
      <c r="A72" s="269"/>
      <c r="B72" s="221"/>
      <c r="C72" s="222"/>
      <c r="D72" s="523"/>
      <c r="E72" s="606"/>
      <c r="F72" s="863"/>
      <c r="G72" s="228"/>
      <c r="H72" s="229"/>
      <c r="I72" s="562"/>
      <c r="J72" s="271"/>
      <c r="K72" s="851"/>
      <c r="L72" s="852"/>
      <c r="M72" s="417"/>
      <c r="N72" s="781"/>
      <c r="O72" s="778"/>
      <c r="P72" s="778"/>
      <c r="Q72" s="778"/>
    </row>
    <row r="73" spans="1:17" ht="37.5" x14ac:dyDescent="0.35">
      <c r="A73" s="269"/>
      <c r="B73" s="830" t="str">
        <f>'New Conn'!B1145</f>
        <v>2.17 SSEG Three phase domestic connection (80A) in meter box,  Time of use (TOU) meter :  Connection in meter box placed on stand boundary . (Connection to an erf, where the development costs has NOT been paid).</v>
      </c>
      <c r="C73" s="222" t="str">
        <f>'New Conn'!H1145</f>
        <v xml:space="preserve"> [Mangaung - Peri urban]</v>
      </c>
      <c r="D73" s="523">
        <f>'New Conn'!H1179</f>
        <v>41290</v>
      </c>
      <c r="E73" s="606">
        <f t="shared" si="0"/>
        <v>47483.499999999993</v>
      </c>
      <c r="F73" s="863">
        <f>'New Conn'!I1179</f>
        <v>41290</v>
      </c>
      <c r="G73" s="228">
        <f t="shared" si="1"/>
        <v>-0.13043478260869551</v>
      </c>
      <c r="H73" s="229">
        <f t="shared" si="2"/>
        <v>6193.5</v>
      </c>
      <c r="I73" s="562">
        <f t="shared" si="3"/>
        <v>47483.5</v>
      </c>
      <c r="J73" s="271">
        <v>9100033030465</v>
      </c>
      <c r="K73" s="851">
        <f>+$F73*(1+'Unit tariffs'!$F$2)</f>
        <v>43643.53</v>
      </c>
      <c r="L73" s="852">
        <f>+$K73*(1+'Unit tariffs'!$F$2)</f>
        <v>46131.211209999994</v>
      </c>
      <c r="M73" s="417">
        <f>+$L73*(1+'Unit tariffs'!$F$2)</f>
        <v>48760.690248969993</v>
      </c>
      <c r="N73" s="781">
        <f>+$M73*(1+'Unit tariffs'!$F$2)</f>
        <v>51540.049593161282</v>
      </c>
      <c r="O73" s="778"/>
      <c r="P73" s="778"/>
      <c r="Q73" s="778"/>
    </row>
    <row r="74" spans="1:17" x14ac:dyDescent="0.35">
      <c r="A74" s="269"/>
      <c r="B74" s="221"/>
      <c r="C74" s="222"/>
      <c r="D74" s="523"/>
      <c r="E74" s="606"/>
      <c r="F74" s="863"/>
      <c r="G74" s="228"/>
      <c r="H74" s="229"/>
      <c r="I74" s="562"/>
      <c r="J74" s="271"/>
      <c r="K74" s="851"/>
      <c r="L74" s="852"/>
      <c r="M74" s="417"/>
      <c r="N74" s="781"/>
      <c r="O74" s="778"/>
      <c r="P74" s="778"/>
      <c r="Q74" s="778"/>
    </row>
    <row r="75" spans="1:17" ht="37.5" x14ac:dyDescent="0.35">
      <c r="A75" s="269"/>
      <c r="B75" s="830" t="str">
        <f>'New Conn'!B1185</f>
        <v xml:space="preserve">2.18 SSEG Three phase domestic connection (80A) in meter box,  Time of use (TOU) meter :  Connection in meter box placed on stand boundary taken from (Connection to an erf, where the development costs has NOT been paid).                                    </v>
      </c>
      <c r="C75" s="222" t="str">
        <f>'New Conn'!H1185</f>
        <v xml:space="preserve">  [Regional -  Peri urban area]</v>
      </c>
      <c r="D75" s="523">
        <f>'New Conn'!H1212</f>
        <v>18740</v>
      </c>
      <c r="E75" s="606">
        <f t="shared" si="0"/>
        <v>21551</v>
      </c>
      <c r="F75" s="863">
        <f>'New Conn'!I1212</f>
        <v>17660</v>
      </c>
      <c r="G75" s="228">
        <f t="shared" si="1"/>
        <v>-0.180548466428472</v>
      </c>
      <c r="H75" s="229">
        <f t="shared" si="2"/>
        <v>2649</v>
      </c>
      <c r="I75" s="562">
        <f t="shared" si="3"/>
        <v>20309</v>
      </c>
      <c r="J75" s="271">
        <v>9100033030467</v>
      </c>
      <c r="K75" s="851">
        <f>+$F75*(1+'Unit tariffs'!$F$2)</f>
        <v>18666.62</v>
      </c>
      <c r="L75" s="852">
        <f>+$K75*(1+'Unit tariffs'!$F$2)</f>
        <v>19730.617339999997</v>
      </c>
      <c r="M75" s="417">
        <f>+$L75*(1+'Unit tariffs'!$F$2)</f>
        <v>20855.262528379997</v>
      </c>
      <c r="N75" s="781">
        <f>+$M75*(1+'Unit tariffs'!$F$2)</f>
        <v>22044.012492497655</v>
      </c>
      <c r="O75" s="778"/>
      <c r="P75" s="778"/>
      <c r="Q75" s="778"/>
    </row>
    <row r="76" spans="1:17" x14ac:dyDescent="0.35">
      <c r="A76" s="269"/>
      <c r="B76" s="221"/>
      <c r="C76" s="222"/>
      <c r="D76" s="523"/>
      <c r="E76" s="606"/>
      <c r="F76" s="863"/>
      <c r="G76" s="228"/>
      <c r="H76" s="229"/>
      <c r="I76" s="562"/>
      <c r="J76" s="271"/>
      <c r="K76" s="851"/>
      <c r="L76" s="852"/>
      <c r="M76" s="417"/>
      <c r="N76" s="781"/>
      <c r="O76" s="778"/>
      <c r="P76" s="778"/>
      <c r="Q76" s="778"/>
    </row>
    <row r="77" spans="1:17" ht="26" x14ac:dyDescent="0.35">
      <c r="A77" s="269"/>
      <c r="B77" s="706" t="str">
        <f>'New Conn'!B1217</f>
        <v>2.19 Three phase domestic connection in meter box, Split pre-payment meter (Connection to an erf, where the development costs has NOT been paid)</v>
      </c>
      <c r="C77" s="222" t="str">
        <f>'New Conn'!H1217</f>
        <v xml:space="preserve">  [Mangaung - Peri urban]</v>
      </c>
      <c r="D77" s="523">
        <f>'New Conn'!H1252</f>
        <v>44500</v>
      </c>
      <c r="E77" s="606">
        <f t="shared" ref="E77:E138" si="4">D77*1.15</f>
        <v>51174.999999999993</v>
      </c>
      <c r="F77" s="863">
        <f>'New Conn'!I1252</f>
        <v>44500</v>
      </c>
      <c r="G77" s="228">
        <f t="shared" si="1"/>
        <v>-0.13043478260869554</v>
      </c>
      <c r="H77" s="229">
        <f t="shared" si="2"/>
        <v>6675</v>
      </c>
      <c r="I77" s="562">
        <f t="shared" si="3"/>
        <v>51175</v>
      </c>
      <c r="J77" s="271">
        <v>9100033030469</v>
      </c>
      <c r="K77" s="851">
        <f>+$F77*(1+'Unit tariffs'!$F$2)</f>
        <v>47036.5</v>
      </c>
      <c r="L77" s="852">
        <f>+$K77*(1+'Unit tariffs'!$F$2)</f>
        <v>49717.580499999996</v>
      </c>
      <c r="M77" s="417">
        <f>+$L77*(1+'Unit tariffs'!$F$2)</f>
        <v>52551.482588499995</v>
      </c>
      <c r="N77" s="781">
        <f>+$M77*(1+'Unit tariffs'!$F$2)</f>
        <v>55546.91709604449</v>
      </c>
      <c r="O77" s="778"/>
      <c r="P77" s="778"/>
      <c r="Q77" s="778"/>
    </row>
    <row r="78" spans="1:17" x14ac:dyDescent="0.35">
      <c r="A78" s="269"/>
      <c r="B78" s="221"/>
      <c r="C78" s="222"/>
      <c r="D78" s="523"/>
      <c r="E78" s="606"/>
      <c r="F78" s="863"/>
      <c r="G78" s="228"/>
      <c r="H78" s="229"/>
      <c r="I78" s="562"/>
      <c r="J78" s="271"/>
      <c r="K78" s="851"/>
      <c r="L78" s="852"/>
      <c r="M78" s="417"/>
      <c r="N78" s="781"/>
      <c r="O78" s="778"/>
      <c r="P78" s="778"/>
      <c r="Q78" s="778"/>
    </row>
    <row r="79" spans="1:17" ht="25" x14ac:dyDescent="0.35">
      <c r="A79" s="269"/>
      <c r="B79" s="830" t="str">
        <f>'New Conn'!B1259</f>
        <v>2.20 Three phase domestic connection in meter box, Split pre-payment meter. (Connection to an erf, where the development costs has NOT been paid)</v>
      </c>
      <c r="C79" s="222" t="str">
        <f>'New Conn'!H1259</f>
        <v xml:space="preserve">  [Regional - Peri urban]</v>
      </c>
      <c r="D79" s="523">
        <f>'New Conn'!H1290</f>
        <v>32650</v>
      </c>
      <c r="E79" s="606">
        <f t="shared" si="4"/>
        <v>37547.5</v>
      </c>
      <c r="F79" s="863">
        <f>'New Conn'!I1290</f>
        <v>32650</v>
      </c>
      <c r="G79" s="228">
        <f t="shared" si="1"/>
        <v>-0.13043478260869565</v>
      </c>
      <c r="H79" s="229">
        <f t="shared" si="2"/>
        <v>4897.5</v>
      </c>
      <c r="I79" s="562">
        <f t="shared" si="3"/>
        <v>37547.5</v>
      </c>
      <c r="J79" s="271">
        <v>9100033030471</v>
      </c>
      <c r="K79" s="851">
        <f>+$F79*(1+'Unit tariffs'!$F$2)</f>
        <v>34511.049999999996</v>
      </c>
      <c r="L79" s="852">
        <f>+$K79*(1+'Unit tariffs'!$F$2)</f>
        <v>36478.179849999993</v>
      </c>
      <c r="M79" s="417">
        <f>+$L79*(1+'Unit tariffs'!$F$2)</f>
        <v>38557.436101449988</v>
      </c>
      <c r="N79" s="781">
        <f>+$M79*(1+'Unit tariffs'!$F$2)</f>
        <v>40755.209959232634</v>
      </c>
      <c r="O79" s="778"/>
      <c r="P79" s="778"/>
      <c r="Q79" s="778"/>
    </row>
    <row r="80" spans="1:17" x14ac:dyDescent="0.35">
      <c r="A80" s="269"/>
      <c r="B80" s="221"/>
      <c r="C80" s="222"/>
      <c r="D80" s="523"/>
      <c r="E80" s="606"/>
      <c r="F80" s="863"/>
      <c r="G80" s="228"/>
      <c r="H80" s="229"/>
      <c r="I80" s="562"/>
      <c r="J80" s="271"/>
      <c r="K80" s="851"/>
      <c r="L80" s="852"/>
      <c r="M80" s="417"/>
      <c r="N80" s="781"/>
      <c r="O80" s="778"/>
      <c r="P80" s="778"/>
      <c r="Q80" s="778"/>
    </row>
    <row r="81" spans="1:17" ht="37.5" x14ac:dyDescent="0.35">
      <c r="A81" s="269"/>
      <c r="B81" s="830" t="str">
        <f>'New Conn'!B1293</f>
        <v>2.21 Three phase domestic connection (80A) in meter box,  Time of use (TOU) meter :  Connection in meter box placed on stand boundary (Connection to an erf, where the development costs has been paid [5kVA]).</v>
      </c>
      <c r="C81" s="222" t="str">
        <f>'New Conn'!H1293</f>
        <v xml:space="preserve"> [Mangaung - Peri urban]</v>
      </c>
      <c r="D81" s="523">
        <f>'New Conn'!H1327</f>
        <v>15850</v>
      </c>
      <c r="E81" s="606">
        <f t="shared" si="4"/>
        <v>18227.5</v>
      </c>
      <c r="F81" s="863">
        <f>'New Conn'!I1327</f>
        <v>15850</v>
      </c>
      <c r="G81" s="228">
        <f t="shared" si="1"/>
        <v>-0.13043478260869565</v>
      </c>
      <c r="H81" s="229">
        <f t="shared" si="2"/>
        <v>2377.5</v>
      </c>
      <c r="I81" s="562">
        <f t="shared" si="3"/>
        <v>18227.5</v>
      </c>
      <c r="J81" s="271">
        <v>9100033030473</v>
      </c>
      <c r="K81" s="851">
        <f>+$F81*(1+'Unit tariffs'!$F$2)</f>
        <v>16753.45</v>
      </c>
      <c r="L81" s="852">
        <f>+$K81*(1+'Unit tariffs'!$F$2)</f>
        <v>17708.396649999999</v>
      </c>
      <c r="M81" s="417">
        <f>+$L81*(1+'Unit tariffs'!$F$2)</f>
        <v>18717.775259049999</v>
      </c>
      <c r="N81" s="781">
        <f>+$M81*(1+'Unit tariffs'!$F$2)</f>
        <v>19784.688448815847</v>
      </c>
      <c r="O81" s="778"/>
      <c r="P81" s="778"/>
      <c r="Q81" s="778"/>
    </row>
    <row r="82" spans="1:17" x14ac:dyDescent="0.35">
      <c r="A82" s="269"/>
      <c r="B82" s="221"/>
      <c r="C82" s="222"/>
      <c r="D82" s="523"/>
      <c r="E82" s="606"/>
      <c r="F82" s="863"/>
      <c r="G82" s="228"/>
      <c r="H82" s="229"/>
      <c r="I82" s="562"/>
      <c r="J82" s="271"/>
      <c r="K82" s="851"/>
      <c r="L82" s="852"/>
      <c r="M82" s="417"/>
      <c r="N82" s="781"/>
      <c r="O82" s="778"/>
      <c r="P82" s="778"/>
      <c r="Q82" s="778"/>
    </row>
    <row r="83" spans="1:17" ht="37.5" x14ac:dyDescent="0.35">
      <c r="A83" s="269"/>
      <c r="B83" s="830" t="str">
        <f>'New Conn'!B1333</f>
        <v xml:space="preserve">2.22 Three phase domestic connection (80A) in meter box,  Time of use (TOU) meter :  Connection in meter box placed on stand boundary  (Connection to an erf, where the development costs has been paid [5kVA]).                                 </v>
      </c>
      <c r="C83" s="222" t="str">
        <f>'New Conn'!H1333</f>
        <v xml:space="preserve">  [Regional - Peri urban]</v>
      </c>
      <c r="D83" s="523">
        <f>'New Conn'!H1360</f>
        <v>13070</v>
      </c>
      <c r="E83" s="606">
        <f t="shared" si="4"/>
        <v>15030.499999999998</v>
      </c>
      <c r="F83" s="863">
        <f>'New Conn'!I1360</f>
        <v>11990</v>
      </c>
      <c r="G83" s="228">
        <f t="shared" si="1"/>
        <v>-0.20228867968464112</v>
      </c>
      <c r="H83" s="229">
        <f t="shared" si="2"/>
        <v>1798.5</v>
      </c>
      <c r="I83" s="562">
        <f t="shared" si="3"/>
        <v>13788.5</v>
      </c>
      <c r="J83" s="271">
        <v>9100033030475</v>
      </c>
      <c r="K83" s="851">
        <f>+$F83*(1+'Unit tariffs'!$F$2)</f>
        <v>12673.429999999998</v>
      </c>
      <c r="L83" s="852">
        <f>+$K83*(1+'Unit tariffs'!$F$2)</f>
        <v>13395.815509999997</v>
      </c>
      <c r="M83" s="417">
        <f>+$L83*(1+'Unit tariffs'!$F$2)</f>
        <v>14159.376994069995</v>
      </c>
      <c r="N83" s="781">
        <f>+$M83*(1+'Unit tariffs'!$F$2)</f>
        <v>14966.461482731984</v>
      </c>
      <c r="O83" s="778"/>
      <c r="P83" s="778"/>
      <c r="Q83" s="778"/>
    </row>
    <row r="84" spans="1:17" x14ac:dyDescent="0.35">
      <c r="A84" s="269"/>
      <c r="B84" s="221"/>
      <c r="C84" s="222"/>
      <c r="D84" s="523"/>
      <c r="E84" s="606"/>
      <c r="F84" s="863"/>
      <c r="G84" s="228"/>
      <c r="H84" s="229"/>
      <c r="I84" s="562"/>
      <c r="J84" s="271"/>
      <c r="K84" s="851"/>
      <c r="L84" s="852"/>
      <c r="M84" s="417"/>
      <c r="N84" s="781"/>
      <c r="O84" s="778"/>
      <c r="P84" s="778"/>
      <c r="Q84" s="778"/>
    </row>
    <row r="85" spans="1:17" ht="37.5" x14ac:dyDescent="0.35">
      <c r="A85" s="269"/>
      <c r="B85" s="830" t="str">
        <f>'New Conn'!B1368</f>
        <v>2.23 SSEG Three phase domestic connection (80A) in meter box,  Time of use (TOU) meter :  Connection in meter box placed on stand boundary . (Connection to an erf, where the development costs has been paid [5kVA]).</v>
      </c>
      <c r="C85" s="222" t="str">
        <f>'New Conn'!H1368</f>
        <v xml:space="preserve"> [Mangaung - Peri urban]</v>
      </c>
      <c r="D85" s="523">
        <f>'New Conn'!H1402</f>
        <v>15850</v>
      </c>
      <c r="E85" s="606">
        <f t="shared" si="4"/>
        <v>18227.5</v>
      </c>
      <c r="F85" s="863">
        <f>'New Conn'!I1402</f>
        <v>15850</v>
      </c>
      <c r="G85" s="228">
        <f t="shared" si="1"/>
        <v>-0.13043478260869565</v>
      </c>
      <c r="H85" s="229">
        <f t="shared" si="2"/>
        <v>2377.5</v>
      </c>
      <c r="I85" s="562">
        <f t="shared" si="3"/>
        <v>18227.5</v>
      </c>
      <c r="J85" s="271">
        <v>9100033030477</v>
      </c>
      <c r="K85" s="851">
        <f>+$F85*(1+'Unit tariffs'!$F$2)</f>
        <v>16753.45</v>
      </c>
      <c r="L85" s="852">
        <f>+$K85*(1+'Unit tariffs'!$F$2)</f>
        <v>17708.396649999999</v>
      </c>
      <c r="M85" s="417">
        <f>+$L85*(1+'Unit tariffs'!$F$2)</f>
        <v>18717.775259049999</v>
      </c>
      <c r="N85" s="781">
        <f>+$M85*(1+'Unit tariffs'!$F$2)</f>
        <v>19784.688448815847</v>
      </c>
      <c r="O85" s="778"/>
      <c r="P85" s="778"/>
      <c r="Q85" s="778"/>
    </row>
    <row r="86" spans="1:17" x14ac:dyDescent="0.35">
      <c r="A86" s="269"/>
      <c r="B86" s="221"/>
      <c r="C86" s="222"/>
      <c r="D86" s="523"/>
      <c r="E86" s="606"/>
      <c r="F86" s="863"/>
      <c r="G86" s="228"/>
      <c r="H86" s="229"/>
      <c r="I86" s="562"/>
      <c r="J86" s="271"/>
      <c r="K86" s="851"/>
      <c r="L86" s="852"/>
      <c r="M86" s="417"/>
      <c r="N86" s="781"/>
      <c r="O86" s="778"/>
      <c r="P86" s="778"/>
      <c r="Q86" s="778"/>
    </row>
    <row r="87" spans="1:17" ht="37.5" x14ac:dyDescent="0.35">
      <c r="A87" s="269"/>
      <c r="B87" s="830" t="str">
        <f>'New Conn'!B1408</f>
        <v xml:space="preserve">2.24 SSEG Three phase domestic connection (80A) in meter box,  Time of use (TOU) meter :  Connection in meter box placed on stand boundary taken from (Connection to an erf, where the development costs has been paid [5kVA]).                                    </v>
      </c>
      <c r="C87" s="222" t="str">
        <f>'New Conn'!H1408</f>
        <v xml:space="preserve">  [Regional -  Peri urban area]</v>
      </c>
      <c r="D87" s="523">
        <f>'New Conn'!H1435</f>
        <v>13070</v>
      </c>
      <c r="E87" s="606">
        <f t="shared" si="4"/>
        <v>15030.499999999998</v>
      </c>
      <c r="F87" s="863">
        <f>'New Conn'!I1435</f>
        <v>11990</v>
      </c>
      <c r="G87" s="228">
        <f t="shared" si="1"/>
        <v>-0.20228867968464112</v>
      </c>
      <c r="H87" s="229">
        <f t="shared" si="2"/>
        <v>1798.5</v>
      </c>
      <c r="I87" s="562">
        <f t="shared" si="3"/>
        <v>13788.5</v>
      </c>
      <c r="J87" s="271">
        <v>9100033030479</v>
      </c>
      <c r="K87" s="851">
        <f>+$F87*(1+'Unit tariffs'!$F$2)</f>
        <v>12673.429999999998</v>
      </c>
      <c r="L87" s="852">
        <f>+$K87*(1+'Unit tariffs'!$F$2)</f>
        <v>13395.815509999997</v>
      </c>
      <c r="M87" s="417">
        <f>+$L87*(1+'Unit tariffs'!$F$2)</f>
        <v>14159.376994069995</v>
      </c>
      <c r="N87" s="781">
        <f>+$M87*(1+'Unit tariffs'!$F$2)</f>
        <v>14966.461482731984</v>
      </c>
      <c r="O87" s="778"/>
      <c r="P87" s="778"/>
      <c r="Q87" s="778"/>
    </row>
    <row r="88" spans="1:17" x14ac:dyDescent="0.35">
      <c r="A88" s="269"/>
      <c r="B88" s="221"/>
      <c r="C88" s="222"/>
      <c r="D88" s="523"/>
      <c r="E88" s="606"/>
      <c r="F88" s="863"/>
      <c r="G88" s="228"/>
      <c r="H88" s="229"/>
      <c r="I88" s="562"/>
      <c r="J88" s="271"/>
      <c r="K88" s="851"/>
      <c r="L88" s="852"/>
      <c r="M88" s="417"/>
      <c r="N88" s="781"/>
      <c r="O88" s="778"/>
      <c r="P88" s="778"/>
      <c r="Q88" s="778"/>
    </row>
    <row r="89" spans="1:17" ht="25" x14ac:dyDescent="0.35">
      <c r="A89" s="269"/>
      <c r="B89" s="830" t="str">
        <f>'New Conn'!B1440</f>
        <v>2.25 Three phase domestic connection in meter box, Split pre-payment meter (Connection to an erf, where the development costs has been paid [5kVA]).</v>
      </c>
      <c r="C89" s="222" t="str">
        <f>'New Conn'!H1440</f>
        <v xml:space="preserve">  [Mangaung - Peri urban]</v>
      </c>
      <c r="D89" s="523">
        <f>'New Conn'!H1475</f>
        <v>19060</v>
      </c>
      <c r="E89" s="606">
        <f t="shared" si="4"/>
        <v>21919</v>
      </c>
      <c r="F89" s="863">
        <f>'New Conn'!I1475</f>
        <v>19060</v>
      </c>
      <c r="G89" s="228">
        <f t="shared" ref="G89:G147" si="5">(F89-E89)/E89</f>
        <v>-0.13043478260869565</v>
      </c>
      <c r="H89" s="229">
        <f t="shared" ref="H89:H147" si="6">F89*H$3</f>
        <v>2859</v>
      </c>
      <c r="I89" s="562">
        <f t="shared" ref="I89:I147" si="7">F89+H89</f>
        <v>21919</v>
      </c>
      <c r="J89" s="271">
        <v>9100033030481</v>
      </c>
      <c r="K89" s="851">
        <f>+$F89*(1+'Unit tariffs'!$F$2)</f>
        <v>20146.419999999998</v>
      </c>
      <c r="L89" s="852">
        <f>+$K89*(1+'Unit tariffs'!$F$2)</f>
        <v>21294.765939999997</v>
      </c>
      <c r="M89" s="417">
        <f>+$L89*(1+'Unit tariffs'!$F$2)</f>
        <v>22508.567598579997</v>
      </c>
      <c r="N89" s="781">
        <f>+$M89*(1+'Unit tariffs'!$F$2)</f>
        <v>23791.555951699054</v>
      </c>
      <c r="O89" s="778"/>
      <c r="P89" s="778"/>
      <c r="Q89" s="778"/>
    </row>
    <row r="90" spans="1:17" x14ac:dyDescent="0.35">
      <c r="A90" s="269"/>
      <c r="B90" s="221"/>
      <c r="C90" s="222"/>
      <c r="D90" s="523"/>
      <c r="E90" s="606"/>
      <c r="F90" s="863"/>
      <c r="G90" s="228"/>
      <c r="H90" s="229"/>
      <c r="I90" s="562"/>
      <c r="J90" s="271"/>
      <c r="K90" s="851"/>
      <c r="L90" s="852"/>
      <c r="M90" s="417"/>
      <c r="N90" s="781"/>
      <c r="O90" s="778"/>
      <c r="P90" s="778"/>
      <c r="Q90" s="778"/>
    </row>
    <row r="91" spans="1:17" ht="25" x14ac:dyDescent="0.35">
      <c r="A91" s="269"/>
      <c r="B91" s="830" t="str">
        <f>'New Conn'!B1482</f>
        <v>2.26 Three phase domestic connection in meter box, Split pre-payment meter. (Connection to an erf, where the development costs has been paid [5kVA]).</v>
      </c>
      <c r="C91" s="222" t="str">
        <f>'New Conn'!H1482</f>
        <v xml:space="preserve">  [Regional - Peri urban]</v>
      </c>
      <c r="D91" s="523">
        <f>'New Conn'!H1512</f>
        <v>11190</v>
      </c>
      <c r="E91" s="606">
        <f t="shared" si="4"/>
        <v>12868.499999999998</v>
      </c>
      <c r="F91" s="863">
        <f>'New Conn'!I1512</f>
        <v>11190</v>
      </c>
      <c r="G91" s="228">
        <f t="shared" si="5"/>
        <v>-0.13043478260869554</v>
      </c>
      <c r="H91" s="229">
        <f t="shared" si="6"/>
        <v>1678.5</v>
      </c>
      <c r="I91" s="562">
        <f t="shared" si="7"/>
        <v>12868.5</v>
      </c>
      <c r="J91" s="271">
        <v>9100033030483</v>
      </c>
      <c r="K91" s="851">
        <f>+$F91*(1+'Unit tariffs'!$F$2)</f>
        <v>11827.83</v>
      </c>
      <c r="L91" s="852">
        <f>+$K91*(1+'Unit tariffs'!$F$2)</f>
        <v>12502.016309999999</v>
      </c>
      <c r="M91" s="417">
        <f>+$L91*(1+'Unit tariffs'!$F$2)</f>
        <v>13214.631239669998</v>
      </c>
      <c r="N91" s="781">
        <f>+$M91*(1+'Unit tariffs'!$F$2)</f>
        <v>13967.865220331187</v>
      </c>
      <c r="O91" s="778"/>
      <c r="P91" s="778"/>
      <c r="Q91" s="778"/>
    </row>
    <row r="92" spans="1:17" ht="15" thickBot="1" x14ac:dyDescent="0.4">
      <c r="A92" s="269"/>
      <c r="B92" s="221"/>
      <c r="C92" s="222"/>
      <c r="D92" s="523"/>
      <c r="E92" s="606"/>
      <c r="F92" s="863"/>
      <c r="G92" s="228"/>
      <c r="H92" s="229"/>
      <c r="I92" s="562"/>
      <c r="J92" s="271"/>
      <c r="K92" s="851"/>
      <c r="L92" s="852"/>
      <c r="M92" s="417"/>
      <c r="N92" s="781"/>
      <c r="O92" s="778"/>
      <c r="P92" s="778"/>
      <c r="Q92" s="778"/>
    </row>
    <row r="93" spans="1:17" ht="31" x14ac:dyDescent="0.35">
      <c r="A93" s="396"/>
      <c r="B93" s="262" t="str">
        <f>+B1</f>
        <v>CENTLEC : ELECTRICITY SERVICES COSTS FOR MANGAUNG METROPOLITAN MUNICIPALITY</v>
      </c>
      <c r="C93" s="263"/>
      <c r="D93" s="529"/>
      <c r="E93" s="606"/>
      <c r="F93" s="370" t="s">
        <v>74</v>
      </c>
      <c r="G93" s="228"/>
      <c r="H93" s="229"/>
      <c r="I93" s="562"/>
      <c r="J93" s="271"/>
      <c r="K93" s="851"/>
      <c r="L93" s="852"/>
      <c r="M93" s="417"/>
      <c r="N93" s="781"/>
      <c r="O93" s="778"/>
      <c r="P93" s="778"/>
      <c r="Q93" s="778"/>
    </row>
    <row r="94" spans="1:17" ht="15.5" x14ac:dyDescent="0.35">
      <c r="A94" s="396"/>
      <c r="B94" s="404"/>
      <c r="C94" s="304"/>
      <c r="D94" s="530"/>
      <c r="E94" s="606"/>
      <c r="F94" s="308" t="s">
        <v>318</v>
      </c>
      <c r="G94" s="228"/>
      <c r="H94" s="229"/>
      <c r="I94" s="562"/>
      <c r="J94" s="271"/>
      <c r="K94" s="851"/>
      <c r="L94" s="852"/>
      <c r="M94" s="417"/>
      <c r="N94" s="781"/>
      <c r="O94" s="778"/>
      <c r="P94" s="778"/>
      <c r="Q94" s="778"/>
    </row>
    <row r="95" spans="1:17" ht="15.5" x14ac:dyDescent="0.35">
      <c r="A95" s="396"/>
      <c r="B95" s="404" t="str">
        <f>'Temp Conn'!B2</f>
        <v xml:space="preserve">3. TEMPORARY CONNECTIONS - MAXIMUM PERIOD OF 12 MONTHS </v>
      </c>
      <c r="C95" s="226"/>
      <c r="D95" s="531"/>
      <c r="E95" s="606"/>
      <c r="F95" s="224"/>
      <c r="G95" s="228"/>
      <c r="H95" s="229"/>
      <c r="I95" s="562"/>
      <c r="J95" s="271"/>
      <c r="K95" s="851"/>
      <c r="L95" s="852"/>
      <c r="M95" s="417"/>
      <c r="N95" s="781"/>
      <c r="O95" s="778"/>
      <c r="P95" s="778"/>
      <c r="Q95" s="778"/>
    </row>
    <row r="96" spans="1:17" ht="26" x14ac:dyDescent="0.35">
      <c r="A96" s="269"/>
      <c r="B96" s="514" t="s">
        <v>623</v>
      </c>
      <c r="C96" s="222"/>
      <c r="D96" s="533"/>
      <c r="E96" s="606"/>
      <c r="F96" s="864"/>
      <c r="G96" s="228"/>
      <c r="H96" s="229"/>
      <c r="I96" s="562"/>
      <c r="J96" s="271"/>
      <c r="K96" s="851"/>
      <c r="L96" s="852"/>
      <c r="M96" s="417"/>
      <c r="N96" s="781"/>
      <c r="O96" s="779"/>
      <c r="P96" s="779"/>
      <c r="Q96" s="779"/>
    </row>
    <row r="97" spans="1:17" x14ac:dyDescent="0.35">
      <c r="A97" s="269"/>
      <c r="B97" s="221"/>
      <c r="C97" s="222"/>
      <c r="D97" s="521"/>
      <c r="E97" s="606"/>
      <c r="F97" s="862"/>
      <c r="G97" s="228"/>
      <c r="H97" s="229"/>
      <c r="I97" s="562"/>
      <c r="J97" s="271"/>
      <c r="K97" s="851"/>
      <c r="L97" s="852"/>
      <c r="M97" s="417"/>
      <c r="N97" s="781"/>
      <c r="O97" s="793"/>
      <c r="P97" s="779"/>
      <c r="Q97" s="779"/>
    </row>
    <row r="98" spans="1:17" x14ac:dyDescent="0.35">
      <c r="A98" s="269"/>
      <c r="B98" s="221" t="str">
        <f>'Temp Conn'!B2</f>
        <v xml:space="preserve">3. TEMPORARY CONNECTIONS - MAXIMUM PERIOD OF 12 MONTHS </v>
      </c>
      <c r="C98" s="222"/>
      <c r="D98" s="521"/>
      <c r="E98" s="606"/>
      <c r="F98" s="862"/>
      <c r="G98" s="228"/>
      <c r="H98" s="229"/>
      <c r="I98" s="562"/>
      <c r="J98" s="271"/>
      <c r="K98" s="851"/>
      <c r="L98" s="852"/>
      <c r="M98" s="417"/>
      <c r="N98" s="781"/>
      <c r="O98" s="778"/>
      <c r="P98" s="778"/>
      <c r="Q98" s="778"/>
    </row>
    <row r="99" spans="1:17" x14ac:dyDescent="0.35">
      <c r="A99" s="269"/>
      <c r="B99" s="221"/>
      <c r="C99" s="688"/>
      <c r="D99" s="521"/>
      <c r="E99" s="606"/>
      <c r="F99" s="863"/>
      <c r="G99" s="228"/>
      <c r="H99" s="229"/>
      <c r="I99" s="562"/>
      <c r="J99" s="271"/>
      <c r="K99" s="851"/>
      <c r="L99" s="852"/>
      <c r="M99" s="417"/>
      <c r="N99" s="781"/>
      <c r="O99" s="779"/>
      <c r="P99" s="779"/>
      <c r="Q99" s="779"/>
    </row>
    <row r="100" spans="1:17" ht="38.5" x14ac:dyDescent="0.35">
      <c r="A100" s="269"/>
      <c r="B100" s="221" t="str">
        <f>'Temp Conn'!B4</f>
        <v>3.1 Temporary BUILDERS underground connection - Three phase 80 Ampère Prepaid meter only.  Please note: These connections would only be permitted  for a maximum period of 12 months after which it will be removed by CENTLEC. (Where a trench is not longer than 12m)</v>
      </c>
      <c r="C100" s="688"/>
      <c r="D100" s="521">
        <f>'Temp Conn'!H42</f>
        <v>27870</v>
      </c>
      <c r="E100" s="606">
        <f t="shared" si="4"/>
        <v>32050.499999999996</v>
      </c>
      <c r="F100" s="863">
        <f>'Temp Conn'!I42</f>
        <v>30220</v>
      </c>
      <c r="G100" s="228">
        <f t="shared" si="5"/>
        <v>-5.7112993557042684E-2</v>
      </c>
      <c r="H100" s="229">
        <f t="shared" si="6"/>
        <v>4533</v>
      </c>
      <c r="I100" s="562">
        <f t="shared" si="7"/>
        <v>34753</v>
      </c>
      <c r="J100" s="271">
        <v>9100033030492</v>
      </c>
      <c r="K100" s="851">
        <f>+$F100*(1+'Unit tariffs'!$F$2)</f>
        <v>31942.539999999997</v>
      </c>
      <c r="L100" s="852">
        <f>+$K100*(1+'Unit tariffs'!$F$2)</f>
        <v>33763.264779999998</v>
      </c>
      <c r="M100" s="417">
        <f>+$L100*(1+'Unit tariffs'!$F$2)</f>
        <v>35687.770872459994</v>
      </c>
      <c r="N100" s="781">
        <f>+$M100*(1+'Unit tariffs'!$F$2)</f>
        <v>37721.973812190212</v>
      </c>
      <c r="O100" s="778"/>
      <c r="P100" s="778"/>
      <c r="Q100" s="778"/>
    </row>
    <row r="101" spans="1:17" x14ac:dyDescent="0.35">
      <c r="A101" s="269"/>
      <c r="B101" s="221"/>
      <c r="C101" s="222"/>
      <c r="D101" s="521"/>
      <c r="E101" s="606"/>
      <c r="F101" s="862"/>
      <c r="G101" s="228"/>
      <c r="H101" s="229"/>
      <c r="I101" s="562"/>
      <c r="J101" s="271"/>
      <c r="K101" s="851"/>
      <c r="L101" s="852"/>
      <c r="M101" s="417"/>
      <c r="N101" s="781"/>
      <c r="O101" s="778"/>
      <c r="P101" s="778"/>
      <c r="Q101" s="778"/>
    </row>
    <row r="102" spans="1:17" ht="39.5" x14ac:dyDescent="0.35">
      <c r="A102" s="269"/>
      <c r="B102" s="227" t="str">
        <f>'Temp Conn'!B50</f>
        <v xml:space="preserve">3.2 Temporary connection for a special events - These temporary connections would only be permitted for Municipality approved special short term events and it would be removed afterwards </v>
      </c>
      <c r="C102" s="222"/>
      <c r="D102" s="520"/>
      <c r="E102" s="606"/>
      <c r="F102" s="861"/>
      <c r="G102" s="228"/>
      <c r="H102" s="229"/>
      <c r="I102" s="562"/>
      <c r="J102" s="271"/>
      <c r="K102" s="851"/>
      <c r="L102" s="852"/>
      <c r="M102" s="417"/>
      <c r="N102" s="781"/>
      <c r="O102" s="778"/>
      <c r="P102" s="778"/>
      <c r="Q102" s="778"/>
    </row>
    <row r="103" spans="1:17" ht="28.5" customHeight="1" x14ac:dyDescent="0.35">
      <c r="A103" s="286"/>
      <c r="B103" s="836" t="str">
        <f>'Temp Conn'!B52</f>
        <v>3.2.1 Temporary connection for a special event - Single phase 80Ampère P/P with over head Airdac. Applicable where NO meter box is required -  Social, Cultural and community events. - Maximum 5 days Only. (Permit letter be attached from Municipality)</v>
      </c>
      <c r="C103" s="226"/>
      <c r="D103" s="521">
        <f>'Temp Conn'!H77</f>
        <v>12100</v>
      </c>
      <c r="E103" s="606">
        <f t="shared" si="4"/>
        <v>13914.999999999998</v>
      </c>
      <c r="F103" s="862">
        <f>'Temp Conn'!I77</f>
        <v>4500</v>
      </c>
      <c r="G103" s="228">
        <f t="shared" si="5"/>
        <v>-0.67660797700323383</v>
      </c>
      <c r="H103" s="229">
        <f t="shared" si="6"/>
        <v>675</v>
      </c>
      <c r="I103" s="562">
        <f t="shared" si="7"/>
        <v>5175</v>
      </c>
      <c r="J103" s="271">
        <v>9100033030495</v>
      </c>
      <c r="K103" s="851">
        <f>+$F103*(1+'Unit tariffs'!$F$2)</f>
        <v>4756.5</v>
      </c>
      <c r="L103" s="852">
        <f>+$K103*(1+'Unit tariffs'!$F$2)</f>
        <v>5027.6205</v>
      </c>
      <c r="M103" s="417">
        <f>+$L103*(1+'Unit tariffs'!$F$2)</f>
        <v>5314.1948684999998</v>
      </c>
      <c r="N103" s="781">
        <f>+$M103*(1+'Unit tariffs'!$F$2)</f>
        <v>5617.1039760044996</v>
      </c>
      <c r="O103" s="778"/>
      <c r="P103" s="778"/>
      <c r="Q103" s="778"/>
    </row>
    <row r="104" spans="1:17" ht="44.25" customHeight="1" x14ac:dyDescent="0.35">
      <c r="A104" s="269"/>
      <c r="B104" s="830" t="str">
        <f>'Temp Conn'!B83</f>
        <v>3.2.2 Temporary connection for a special event - Three phase 80Ampère P/P with over head Airdac. Applicable where NO meter box is required -  Social, Cultural and community events.  - Maximum 5 days Only. (Permit letter be attached from Municipality)</v>
      </c>
      <c r="C104" s="222"/>
      <c r="D104" s="521">
        <f>'Temp Conn'!H108</f>
        <v>12100</v>
      </c>
      <c r="E104" s="606">
        <f t="shared" si="4"/>
        <v>13914.999999999998</v>
      </c>
      <c r="F104" s="862">
        <f>'Temp Conn'!I108</f>
        <v>3190</v>
      </c>
      <c r="G104" s="228">
        <f t="shared" si="5"/>
        <v>-0.77075098814229248</v>
      </c>
      <c r="H104" s="229">
        <f t="shared" si="6"/>
        <v>478.5</v>
      </c>
      <c r="I104" s="562">
        <f t="shared" si="7"/>
        <v>3668.5</v>
      </c>
      <c r="J104" s="271">
        <v>9100033030496</v>
      </c>
      <c r="K104" s="851">
        <f>+$F104*(1+'Unit tariffs'!$F$2)</f>
        <v>3371.83</v>
      </c>
      <c r="L104" s="852">
        <f>+$K104*(1+'Unit tariffs'!$F$2)</f>
        <v>3564.0243099999998</v>
      </c>
      <c r="M104" s="417">
        <f>+$L104*(1+'Unit tariffs'!$F$2)</f>
        <v>3767.1736956699997</v>
      </c>
      <c r="N104" s="781">
        <f>+$M104*(1+'Unit tariffs'!$F$2)</f>
        <v>3981.9025963231893</v>
      </c>
      <c r="O104" s="779"/>
      <c r="P104" s="779"/>
      <c r="Q104" s="779"/>
    </row>
    <row r="105" spans="1:17" x14ac:dyDescent="0.35">
      <c r="A105" s="269"/>
      <c r="B105" s="830"/>
      <c r="C105" s="222"/>
      <c r="D105" s="521"/>
      <c r="E105" s="606"/>
      <c r="F105" s="862"/>
      <c r="G105" s="228"/>
      <c r="H105" s="229"/>
      <c r="I105" s="562"/>
      <c r="J105" s="271"/>
      <c r="K105" s="851"/>
      <c r="L105" s="852"/>
      <c r="M105" s="417"/>
      <c r="N105" s="781"/>
      <c r="O105" s="779"/>
      <c r="P105" s="779"/>
      <c r="Q105" s="779"/>
    </row>
    <row r="106" spans="1:17" ht="50" x14ac:dyDescent="0.35">
      <c r="A106" s="269"/>
      <c r="B106" s="830" t="str">
        <f>'Temp Conn'!B115</f>
        <v>3.3 Temporary connection for a special event - Single phase 80Ampère P/P- Temporary Church , temporary creches, temporary Car wash ect (where a trench is not longer than 12m) - Maximum 12 months Only. (Permit letter be attached from Municipality and only Subsidised Areas)</v>
      </c>
      <c r="C106" s="222"/>
      <c r="D106" s="521">
        <f>'Temp Conn'!H152</f>
        <v>38910</v>
      </c>
      <c r="E106" s="606">
        <f t="shared" si="4"/>
        <v>44746.5</v>
      </c>
      <c r="F106" s="862">
        <f>'Temp Conn'!I152</f>
        <v>16940</v>
      </c>
      <c r="G106" s="228">
        <f t="shared" si="5"/>
        <v>-0.62142290458471616</v>
      </c>
      <c r="H106" s="229">
        <f t="shared" si="6"/>
        <v>2541</v>
      </c>
      <c r="I106" s="562">
        <f t="shared" si="7"/>
        <v>19481</v>
      </c>
      <c r="J106" s="271">
        <v>9100033030498</v>
      </c>
      <c r="K106" s="851">
        <f>+$F106*(1+'Unit tariffs'!$F$2)</f>
        <v>17905.579999999998</v>
      </c>
      <c r="L106" s="852">
        <f>+$K106*(1+'Unit tariffs'!$F$2)</f>
        <v>18926.198059999995</v>
      </c>
      <c r="M106" s="417">
        <f>+$L106*(1+'Unit tariffs'!$F$2)</f>
        <v>20004.991349419994</v>
      </c>
      <c r="N106" s="781">
        <f>+$M106*(1+'Unit tariffs'!$F$2)</f>
        <v>21145.275856336932</v>
      </c>
      <c r="O106" s="778"/>
      <c r="P106" s="778"/>
      <c r="Q106" s="778"/>
    </row>
    <row r="107" spans="1:17" x14ac:dyDescent="0.35">
      <c r="A107" s="269"/>
      <c r="B107" s="830"/>
      <c r="C107" s="222"/>
      <c r="D107" s="521"/>
      <c r="E107" s="606"/>
      <c r="F107" s="862"/>
      <c r="G107" s="228"/>
      <c r="H107" s="229"/>
      <c r="I107" s="562"/>
      <c r="J107" s="271"/>
      <c r="K107" s="851"/>
      <c r="L107" s="852"/>
      <c r="M107" s="417"/>
      <c r="N107" s="781"/>
      <c r="O107" s="778"/>
      <c r="P107" s="778"/>
      <c r="Q107" s="778"/>
    </row>
    <row r="108" spans="1:17" ht="50" x14ac:dyDescent="0.35">
      <c r="A108" s="269"/>
      <c r="B108" s="830" t="str">
        <f>'Temp Conn'!B155</f>
        <v>3.4 Temporary connection for a special event - Three phase 80Ampère (Subsidised Areas) Temporary connection for a special event - Single phase 80Ampère P/P- Temporary Church , temporary creches, temporary Car wash ect (where a trench is not longer than 12m) - Maximum 12 months Only. (Permit letter be attached from Municipality)</v>
      </c>
      <c r="C108" s="226"/>
      <c r="D108" s="521">
        <f>'Temp Conn'!H191</f>
        <v>38200</v>
      </c>
      <c r="E108" s="606">
        <f t="shared" si="4"/>
        <v>43930</v>
      </c>
      <c r="F108" s="862">
        <f>'Temp Conn'!I191</f>
        <v>34800</v>
      </c>
      <c r="G108" s="228">
        <f t="shared" si="5"/>
        <v>-0.20783063965399498</v>
      </c>
      <c r="H108" s="229">
        <f t="shared" si="6"/>
        <v>5220</v>
      </c>
      <c r="I108" s="562">
        <f t="shared" si="7"/>
        <v>40020</v>
      </c>
      <c r="J108" s="271">
        <v>9100033030500</v>
      </c>
      <c r="K108" s="851">
        <f>+$F108*(1+'Unit tariffs'!$F$2)</f>
        <v>36783.599999999999</v>
      </c>
      <c r="L108" s="852">
        <f>+$K108*(1+'Unit tariffs'!$F$2)</f>
        <v>38880.265199999994</v>
      </c>
      <c r="M108" s="417">
        <f>+$L108*(1+'Unit tariffs'!$F$2)</f>
        <v>41096.440316399989</v>
      </c>
      <c r="N108" s="781">
        <f>+$M108*(1+'Unit tariffs'!$F$2)</f>
        <v>43438.937414434782</v>
      </c>
      <c r="O108" s="778"/>
      <c r="P108" s="778"/>
      <c r="Q108" s="778"/>
    </row>
    <row r="109" spans="1:17" x14ac:dyDescent="0.35">
      <c r="A109" s="269"/>
      <c r="B109" s="241"/>
      <c r="C109" s="222"/>
      <c r="D109" s="521"/>
      <c r="E109" s="606"/>
      <c r="F109" s="862"/>
      <c r="G109" s="228"/>
      <c r="H109" s="229"/>
      <c r="I109" s="562"/>
      <c r="J109" s="271"/>
      <c r="K109" s="851"/>
      <c r="L109" s="852"/>
      <c r="M109" s="417"/>
      <c r="N109" s="781"/>
      <c r="O109" s="778"/>
      <c r="P109" s="778"/>
      <c r="Q109" s="778"/>
    </row>
    <row r="110" spans="1:17" ht="15" thickBot="1" x14ac:dyDescent="0.4">
      <c r="A110" s="364"/>
      <c r="B110" s="278"/>
      <c r="C110" s="279"/>
      <c r="D110" s="524"/>
      <c r="E110" s="606"/>
      <c r="F110" s="865"/>
      <c r="G110" s="228"/>
      <c r="H110" s="229"/>
      <c r="I110" s="562"/>
      <c r="J110" s="271"/>
      <c r="K110" s="851"/>
      <c r="L110" s="852"/>
      <c r="M110" s="417"/>
      <c r="N110" s="781"/>
      <c r="O110" s="778"/>
      <c r="P110" s="778"/>
      <c r="Q110" s="778"/>
    </row>
    <row r="111" spans="1:17" ht="31" x14ac:dyDescent="0.35">
      <c r="A111" s="261"/>
      <c r="B111" s="262" t="str">
        <f>B1</f>
        <v>CENTLEC : ELECTRICITY SERVICES COSTS FOR MANGAUNG METROPOLITAN MUNICIPALITY</v>
      </c>
      <c r="C111" s="263"/>
      <c r="D111" s="534"/>
      <c r="E111" s="606"/>
      <c r="F111" s="859"/>
      <c r="G111" s="228"/>
      <c r="H111" s="229"/>
      <c r="I111" s="562"/>
      <c r="J111" s="271"/>
      <c r="K111" s="851"/>
      <c r="L111" s="852"/>
      <c r="M111" s="417"/>
      <c r="N111" s="781"/>
      <c r="O111" s="778"/>
      <c r="P111" s="778"/>
      <c r="Q111" s="778"/>
    </row>
    <row r="112" spans="1:17" x14ac:dyDescent="0.35">
      <c r="A112" s="286"/>
      <c r="B112" s="287"/>
      <c r="C112" s="288"/>
      <c r="D112" s="530"/>
      <c r="E112" s="606"/>
      <c r="F112" s="308"/>
      <c r="G112" s="228"/>
      <c r="H112" s="229"/>
      <c r="I112" s="562"/>
      <c r="J112" s="271"/>
      <c r="K112" s="851"/>
      <c r="L112" s="852"/>
      <c r="M112" s="417"/>
      <c r="N112" s="781"/>
      <c r="O112" s="778"/>
      <c r="P112" s="778"/>
      <c r="Q112" s="778"/>
    </row>
    <row r="113" spans="1:17" x14ac:dyDescent="0.35">
      <c r="A113" s="269"/>
      <c r="B113" s="307" t="str">
        <f>'Upgrade '!B1</f>
        <v>4. Upgrade Residential</v>
      </c>
      <c r="C113" s="226"/>
      <c r="D113" s="516"/>
      <c r="E113" s="606"/>
      <c r="F113" s="224"/>
      <c r="G113" s="228"/>
      <c r="H113" s="229"/>
      <c r="I113" s="562"/>
      <c r="J113" s="271"/>
      <c r="K113" s="851"/>
      <c r="L113" s="852"/>
      <c r="M113" s="417"/>
      <c r="N113" s="781"/>
      <c r="O113" s="778"/>
      <c r="P113" s="778"/>
      <c r="Q113" s="778"/>
    </row>
    <row r="114" spans="1:17" x14ac:dyDescent="0.35">
      <c r="A114" s="269"/>
      <c r="B114" s="227"/>
      <c r="C114" s="226"/>
      <c r="D114" s="516"/>
      <c r="E114" s="606"/>
      <c r="F114" s="224"/>
      <c r="G114" s="228"/>
      <c r="H114" s="229"/>
      <c r="I114" s="562"/>
      <c r="J114" s="271"/>
      <c r="K114" s="851"/>
      <c r="L114" s="852"/>
      <c r="M114" s="417"/>
      <c r="N114" s="781"/>
      <c r="O114" s="778"/>
      <c r="P114" s="778"/>
      <c r="Q114" s="778"/>
    </row>
    <row r="115" spans="1:17" x14ac:dyDescent="0.35">
      <c r="A115" s="269"/>
      <c r="B115" s="514" t="str">
        <f>'Upgrade '!B3</f>
        <v xml:space="preserve">4.1 Upgrade of single phase Urban connection to three phase - Time of Use Meter(TOU)            </v>
      </c>
      <c r="C115" s="688" t="str">
        <f>'Upgrade '!H3</f>
        <v>[Mangaung]</v>
      </c>
      <c r="D115" s="521">
        <f>'Upgrade '!H36</f>
        <v>21350</v>
      </c>
      <c r="E115" s="606">
        <f t="shared" si="4"/>
        <v>24552.499999999996</v>
      </c>
      <c r="F115" s="862">
        <f>'Upgrade '!I36</f>
        <v>13790</v>
      </c>
      <c r="G115" s="228">
        <f t="shared" si="5"/>
        <v>-0.43834640057020663</v>
      </c>
      <c r="H115" s="229">
        <f t="shared" si="6"/>
        <v>2068.5</v>
      </c>
      <c r="I115" s="562">
        <f t="shared" si="7"/>
        <v>15858.5</v>
      </c>
      <c r="J115" s="271">
        <v>9100033030507</v>
      </c>
      <c r="K115" s="851">
        <f>+$F115*(1+'Unit tariffs'!$F$2)</f>
        <v>14576.029999999999</v>
      </c>
      <c r="L115" s="852">
        <f>+$K115*(1+'Unit tariffs'!$F$2)</f>
        <v>15406.863709999998</v>
      </c>
      <c r="M115" s="417">
        <f>+$L115*(1+'Unit tariffs'!$F$2)</f>
        <v>16285.054941469996</v>
      </c>
      <c r="N115" s="781">
        <f>+$M115*(1+'Unit tariffs'!$F$2)</f>
        <v>17213.303073133786</v>
      </c>
      <c r="O115" s="778"/>
      <c r="P115" s="778"/>
      <c r="Q115" s="778"/>
    </row>
    <row r="116" spans="1:17" ht="19.5" customHeight="1" x14ac:dyDescent="0.35">
      <c r="A116" s="269"/>
      <c r="B116" s="227"/>
      <c r="C116" s="226"/>
      <c r="D116" s="520"/>
      <c r="E116" s="606"/>
      <c r="F116" s="861"/>
      <c r="G116" s="228"/>
      <c r="H116" s="229"/>
      <c r="I116" s="562"/>
      <c r="J116" s="271"/>
      <c r="K116" s="851"/>
      <c r="L116" s="852"/>
      <c r="M116" s="417"/>
      <c r="N116" s="781"/>
      <c r="O116" s="778"/>
      <c r="P116" s="778"/>
      <c r="Q116" s="778"/>
    </row>
    <row r="117" spans="1:17" x14ac:dyDescent="0.35">
      <c r="A117" s="269"/>
      <c r="B117" s="221" t="str">
        <f>'Upgrade '!B43</f>
        <v xml:space="preserve">4.2 Upgrade of single phase Urban connection to three phase - Split pre-payment meter             </v>
      </c>
      <c r="C117" s="222" t="str">
        <f>'Upgrade '!H43</f>
        <v>[Mangaung - Urban]</v>
      </c>
      <c r="D117" s="521">
        <f>'Upgrade '!H74</f>
        <v>13670</v>
      </c>
      <c r="E117" s="606">
        <f t="shared" si="4"/>
        <v>15720.499999999998</v>
      </c>
      <c r="F117" s="862">
        <f>'Upgrade '!I74</f>
        <v>14760</v>
      </c>
      <c r="G117" s="228">
        <f t="shared" si="5"/>
        <v>-6.1098565567252842E-2</v>
      </c>
      <c r="H117" s="229">
        <f t="shared" si="6"/>
        <v>2214</v>
      </c>
      <c r="I117" s="562">
        <f t="shared" si="7"/>
        <v>16974</v>
      </c>
      <c r="J117" s="271">
        <v>9100033030509</v>
      </c>
      <c r="K117" s="851">
        <f>+$F117*(1+'Unit tariffs'!$F$2)</f>
        <v>15601.32</v>
      </c>
      <c r="L117" s="852">
        <f>+$K117*(1+'Unit tariffs'!$F$2)</f>
        <v>16490.595239999999</v>
      </c>
      <c r="M117" s="417">
        <f>+$L117*(1+'Unit tariffs'!$F$2)</f>
        <v>17430.559168679996</v>
      </c>
      <c r="N117" s="781">
        <f>+$M117*(1+'Unit tariffs'!$F$2)</f>
        <v>18424.101041294754</v>
      </c>
      <c r="O117" s="778"/>
      <c r="P117" s="778"/>
      <c r="Q117" s="778"/>
    </row>
    <row r="118" spans="1:17" x14ac:dyDescent="0.35">
      <c r="A118" s="269"/>
      <c r="B118" s="221"/>
      <c r="C118" s="222"/>
      <c r="D118" s="521"/>
      <c r="E118" s="606"/>
      <c r="F118" s="862"/>
      <c r="G118" s="228"/>
      <c r="H118" s="229"/>
      <c r="I118" s="562"/>
      <c r="J118" s="271"/>
      <c r="K118" s="851"/>
      <c r="L118" s="852"/>
      <c r="M118" s="417"/>
      <c r="N118" s="781"/>
      <c r="O118" s="778"/>
      <c r="P118" s="778"/>
      <c r="Q118" s="778"/>
    </row>
    <row r="119" spans="1:17" x14ac:dyDescent="0.35">
      <c r="A119" s="269"/>
      <c r="B119" s="221" t="str">
        <f>'Upgrade '!B80</f>
        <v xml:space="preserve">4.3 Upgrading of single phase Urban connection to three phase - Time of Use Meter(TOU)            </v>
      </c>
      <c r="C119" s="222" t="str">
        <f>'Upgrade '!H80</f>
        <v>[Regional - Urban]</v>
      </c>
      <c r="D119" s="521">
        <f>'Upgrade '!H112</f>
        <v>18400</v>
      </c>
      <c r="E119" s="606">
        <f t="shared" si="4"/>
        <v>21160</v>
      </c>
      <c r="F119" s="862">
        <f>'Upgrade '!I112</f>
        <v>10460</v>
      </c>
      <c r="G119" s="228">
        <f t="shared" si="5"/>
        <v>-0.50567107750472595</v>
      </c>
      <c r="H119" s="229">
        <f t="shared" si="6"/>
        <v>1569</v>
      </c>
      <c r="I119" s="562">
        <f t="shared" si="7"/>
        <v>12029</v>
      </c>
      <c r="J119" s="271">
        <v>9100033030511</v>
      </c>
      <c r="K119" s="851">
        <f>+$F119*(1+'Unit tariffs'!$F$2)</f>
        <v>11056.22</v>
      </c>
      <c r="L119" s="852">
        <f>+$K119*(1+'Unit tariffs'!$F$2)</f>
        <v>11686.424539999998</v>
      </c>
      <c r="M119" s="417">
        <f>+$L119*(1+'Unit tariffs'!$F$2)</f>
        <v>12352.550738779997</v>
      </c>
      <c r="N119" s="781">
        <f>+$M119*(1+'Unit tariffs'!$F$2)</f>
        <v>13056.646130890456</v>
      </c>
      <c r="O119" s="778"/>
      <c r="P119" s="778"/>
      <c r="Q119" s="778"/>
    </row>
    <row r="120" spans="1:17" x14ac:dyDescent="0.35">
      <c r="A120" s="269"/>
      <c r="B120" s="221"/>
      <c r="C120" s="222"/>
      <c r="D120" s="521"/>
      <c r="E120" s="606"/>
      <c r="F120" s="862"/>
      <c r="G120" s="228"/>
      <c r="H120" s="229"/>
      <c r="I120" s="562"/>
      <c r="J120" s="271"/>
      <c r="K120" s="851"/>
      <c r="L120" s="852"/>
      <c r="M120" s="417"/>
      <c r="N120" s="781"/>
      <c r="O120" s="779"/>
      <c r="P120" s="779"/>
      <c r="Q120" s="779"/>
    </row>
    <row r="121" spans="1:17" x14ac:dyDescent="0.35">
      <c r="A121" s="269"/>
      <c r="B121" s="221" t="str">
        <f>'Upgrade '!B119</f>
        <v xml:space="preserve">4.4 Upgrade of single phase Urban connection to three phase - Split pre-payment meter            </v>
      </c>
      <c r="C121" s="222" t="str">
        <f>'Upgrade '!H119</f>
        <v>[Regional - Urban]</v>
      </c>
      <c r="D121" s="521">
        <f>'Upgrade '!H149</f>
        <v>16290</v>
      </c>
      <c r="E121" s="606">
        <f t="shared" si="4"/>
        <v>18733.5</v>
      </c>
      <c r="F121" s="862">
        <f>'Upgrade '!I149</f>
        <v>10090</v>
      </c>
      <c r="G121" s="228">
        <f t="shared" si="5"/>
        <v>-0.46139269223583418</v>
      </c>
      <c r="H121" s="229">
        <f t="shared" si="6"/>
        <v>1513.5</v>
      </c>
      <c r="I121" s="562">
        <f t="shared" si="7"/>
        <v>11603.5</v>
      </c>
      <c r="J121" s="271">
        <v>9100033030513</v>
      </c>
      <c r="K121" s="851">
        <f>+$F121*(1+'Unit tariffs'!$F$2)</f>
        <v>10665.13</v>
      </c>
      <c r="L121" s="852">
        <f>+$K121*(1+'Unit tariffs'!$F$2)</f>
        <v>11273.042409999998</v>
      </c>
      <c r="M121" s="417">
        <f>+$L121*(1+'Unit tariffs'!$F$2)</f>
        <v>11915.605827369998</v>
      </c>
      <c r="N121" s="781">
        <f>+$M121*(1+'Unit tariffs'!$F$2)</f>
        <v>12594.795359530088</v>
      </c>
      <c r="O121" s="779"/>
      <c r="P121" s="779"/>
      <c r="Q121" s="779"/>
    </row>
    <row r="122" spans="1:17" x14ac:dyDescent="0.35">
      <c r="A122" s="269"/>
      <c r="B122" s="221"/>
      <c r="C122" s="222"/>
      <c r="D122" s="521"/>
      <c r="E122" s="606"/>
      <c r="F122" s="862"/>
      <c r="G122" s="228"/>
      <c r="H122" s="229"/>
      <c r="I122" s="562"/>
      <c r="J122" s="271"/>
      <c r="K122" s="851"/>
      <c r="L122" s="852"/>
      <c r="M122" s="417"/>
      <c r="N122" s="781"/>
      <c r="O122" s="779"/>
      <c r="P122" s="779"/>
      <c r="Q122" s="779"/>
    </row>
    <row r="123" spans="1:17" x14ac:dyDescent="0.35">
      <c r="A123" s="269"/>
      <c r="B123" s="221" t="str">
        <f>'Upgrade '!B154</f>
        <v xml:space="preserve">4.5 Upgrade of single phase Peri-Urban connection to three phase -Time of Use Meter(TOU)  </v>
      </c>
      <c r="C123" s="222" t="str">
        <f>'Upgrade '!H154</f>
        <v>[Mangaung - Urban]</v>
      </c>
      <c r="D123" s="521">
        <f>'Upgrade '!H186</f>
        <v>22900</v>
      </c>
      <c r="E123" s="606">
        <f t="shared" si="4"/>
        <v>26334.999999999996</v>
      </c>
      <c r="F123" s="862">
        <f>'Upgrade '!I186</f>
        <v>19730</v>
      </c>
      <c r="G123" s="228">
        <f t="shared" si="5"/>
        <v>-0.25080691095500274</v>
      </c>
      <c r="H123" s="229">
        <f t="shared" si="6"/>
        <v>2959.5</v>
      </c>
      <c r="I123" s="562">
        <f t="shared" si="7"/>
        <v>22689.5</v>
      </c>
      <c r="J123" s="271">
        <v>9100033030515</v>
      </c>
      <c r="K123" s="851">
        <f>+$F123*(1+'Unit tariffs'!$F$2)</f>
        <v>20854.61</v>
      </c>
      <c r="L123" s="852">
        <f>+$K123*(1+'Unit tariffs'!$F$2)</f>
        <v>22043.322769999999</v>
      </c>
      <c r="M123" s="417">
        <f>+$L123*(1+'Unit tariffs'!$F$2)</f>
        <v>23299.792167889998</v>
      </c>
      <c r="N123" s="781">
        <f>+$M123*(1+'Unit tariffs'!$F$2)</f>
        <v>24627.880321459728</v>
      </c>
      <c r="O123" s="779"/>
      <c r="P123" s="779"/>
      <c r="Q123" s="779"/>
    </row>
    <row r="124" spans="1:17" x14ac:dyDescent="0.35">
      <c r="A124" s="269"/>
      <c r="B124" s="221"/>
      <c r="C124" s="222"/>
      <c r="D124" s="521"/>
      <c r="E124" s="606"/>
      <c r="F124" s="862"/>
      <c r="G124" s="228"/>
      <c r="H124" s="229"/>
      <c r="I124" s="562"/>
      <c r="J124" s="271"/>
      <c r="K124" s="851"/>
      <c r="L124" s="852"/>
      <c r="M124" s="417"/>
      <c r="N124" s="781"/>
      <c r="O124" s="779"/>
      <c r="P124" s="779"/>
      <c r="Q124" s="779"/>
    </row>
    <row r="125" spans="1:17" ht="25" x14ac:dyDescent="0.35">
      <c r="A125" s="269"/>
      <c r="B125" s="221" t="str">
        <f>'Upgrade '!B191</f>
        <v xml:space="preserve">4.6 Upgrade of single phase Peri-Urban connection to three phase -Split pre-payment meter    </v>
      </c>
      <c r="C125" s="222" t="str">
        <f>'Upgrade '!H191</f>
        <v>[Mangaung - Peri urban]</v>
      </c>
      <c r="D125" s="521">
        <f>'Upgrade '!H223</f>
        <v>24860</v>
      </c>
      <c r="E125" s="606">
        <f t="shared" si="4"/>
        <v>28588.999999999996</v>
      </c>
      <c r="F125" s="862">
        <f>'Upgrade '!I223</f>
        <v>19730</v>
      </c>
      <c r="G125" s="228">
        <f t="shared" si="5"/>
        <v>-0.30987442722725517</v>
      </c>
      <c r="H125" s="229">
        <f t="shared" si="6"/>
        <v>2959.5</v>
      </c>
      <c r="I125" s="562">
        <f t="shared" si="7"/>
        <v>22689.5</v>
      </c>
      <c r="J125" s="271">
        <v>9100033030517</v>
      </c>
      <c r="K125" s="851">
        <f>+$F125*(1+'Unit tariffs'!$F$2)</f>
        <v>20854.61</v>
      </c>
      <c r="L125" s="852">
        <f>+$K125*(1+'Unit tariffs'!$F$2)</f>
        <v>22043.322769999999</v>
      </c>
      <c r="M125" s="417">
        <f>+$L125*(1+'Unit tariffs'!$F$2)</f>
        <v>23299.792167889998</v>
      </c>
      <c r="N125" s="781">
        <f>+$M125*(1+'Unit tariffs'!$F$2)</f>
        <v>24627.880321459728</v>
      </c>
      <c r="O125" s="778"/>
      <c r="P125" s="778"/>
      <c r="Q125" s="778"/>
    </row>
    <row r="126" spans="1:17" x14ac:dyDescent="0.35">
      <c r="A126" s="269"/>
      <c r="B126" s="221"/>
      <c r="C126" s="222"/>
      <c r="D126" s="520"/>
      <c r="E126" s="606"/>
      <c r="F126" s="861"/>
      <c r="G126" s="228"/>
      <c r="H126" s="229"/>
      <c r="I126" s="562"/>
      <c r="J126" s="271"/>
      <c r="K126" s="851"/>
      <c r="L126" s="852"/>
      <c r="M126" s="417"/>
      <c r="N126" s="781"/>
      <c r="O126" s="778"/>
      <c r="P126" s="778"/>
      <c r="Q126" s="778"/>
    </row>
    <row r="127" spans="1:17" ht="25" x14ac:dyDescent="0.35">
      <c r="A127" s="286"/>
      <c r="B127" s="221" t="str">
        <f>'Upgrade '!B228</f>
        <v xml:space="preserve">4.7 Upgrade of single phase Peri-Urban connection to three phase -Time of Use Meter(TOU)  </v>
      </c>
      <c r="C127" s="222" t="str">
        <f>'Upgrade '!H228</f>
        <v>[Regional - Peri urban]</v>
      </c>
      <c r="D127" s="525">
        <f>'Upgrade '!H260</f>
        <v>23860</v>
      </c>
      <c r="E127" s="606">
        <f t="shared" si="4"/>
        <v>27438.999999999996</v>
      </c>
      <c r="F127" s="866">
        <f>'Upgrade '!I260</f>
        <v>16550</v>
      </c>
      <c r="G127" s="228">
        <f t="shared" si="5"/>
        <v>-0.39684390830569621</v>
      </c>
      <c r="H127" s="229">
        <f t="shared" si="6"/>
        <v>2482.5</v>
      </c>
      <c r="I127" s="562">
        <f t="shared" si="7"/>
        <v>19032.5</v>
      </c>
      <c r="J127" s="271">
        <v>9100033030519</v>
      </c>
      <c r="K127" s="851">
        <f>+$F127*(1+'Unit tariffs'!$F$2)</f>
        <v>17493.349999999999</v>
      </c>
      <c r="L127" s="852">
        <f>+$K127*(1+'Unit tariffs'!$F$2)</f>
        <v>18490.470949999999</v>
      </c>
      <c r="M127" s="417">
        <f>+$L127*(1+'Unit tariffs'!$F$2)</f>
        <v>19544.427794149997</v>
      </c>
      <c r="N127" s="781">
        <f>+$M127*(1+'Unit tariffs'!$F$2)</f>
        <v>20658.460178416546</v>
      </c>
      <c r="O127" s="778"/>
      <c r="P127" s="778"/>
      <c r="Q127" s="778"/>
    </row>
    <row r="128" spans="1:17" x14ac:dyDescent="0.35">
      <c r="A128" s="269"/>
      <c r="B128" s="221"/>
      <c r="C128" s="222"/>
      <c r="D128" s="521"/>
      <c r="E128" s="606"/>
      <c r="F128" s="862"/>
      <c r="G128" s="228"/>
      <c r="H128" s="229"/>
      <c r="I128" s="562"/>
      <c r="J128" s="271"/>
      <c r="K128" s="851"/>
      <c r="L128" s="852"/>
      <c r="M128" s="417"/>
      <c r="N128" s="781"/>
      <c r="O128" s="778"/>
      <c r="P128" s="778"/>
      <c r="Q128" s="778"/>
    </row>
    <row r="129" spans="1:17" ht="29" customHeight="1" x14ac:dyDescent="0.35">
      <c r="A129" s="269"/>
      <c r="B129" s="195" t="str">
        <f>'Upgrade '!B265</f>
        <v xml:space="preserve">4.8 Conversion of single phase Peri-Urban connection to three phase - Split pre-payment meter      </v>
      </c>
      <c r="C129" s="222" t="str">
        <f>'Upgrade '!H265</f>
        <v>[Regional - Peri urban]</v>
      </c>
      <c r="D129" s="521">
        <f>'Upgrade '!H296</f>
        <v>21370</v>
      </c>
      <c r="E129" s="606">
        <f t="shared" si="4"/>
        <v>24575.499999999996</v>
      </c>
      <c r="F129" s="862">
        <f>'Upgrade '!I296</f>
        <v>15780</v>
      </c>
      <c r="G129" s="228">
        <f t="shared" si="5"/>
        <v>-0.35789709263290664</v>
      </c>
      <c r="H129" s="229">
        <f t="shared" si="6"/>
        <v>2367</v>
      </c>
      <c r="I129" s="562">
        <f t="shared" si="7"/>
        <v>18147</v>
      </c>
      <c r="J129" s="271">
        <v>9100033030521</v>
      </c>
      <c r="K129" s="851">
        <f>+$F129*(1+'Unit tariffs'!$F$2)</f>
        <v>16679.46</v>
      </c>
      <c r="L129" s="852">
        <f>+$K129*(1+'Unit tariffs'!$F$2)</f>
        <v>17630.189219999997</v>
      </c>
      <c r="M129" s="417">
        <f>+$L129*(1+'Unit tariffs'!$F$2)</f>
        <v>18635.110005539995</v>
      </c>
      <c r="N129" s="781">
        <f>+$M129*(1+'Unit tariffs'!$F$2)</f>
        <v>19697.311275855773</v>
      </c>
      <c r="O129" s="778"/>
      <c r="P129" s="778"/>
      <c r="Q129" s="778"/>
    </row>
    <row r="130" spans="1:17" ht="15" thickBot="1" x14ac:dyDescent="0.4">
      <c r="A130" s="269"/>
      <c r="C130" s="222"/>
      <c r="D130" s="521"/>
      <c r="E130" s="606"/>
      <c r="F130" s="862"/>
      <c r="G130" s="228"/>
      <c r="H130" s="229"/>
      <c r="I130" s="562"/>
      <c r="J130" s="271"/>
      <c r="K130" s="851"/>
      <c r="L130" s="852"/>
      <c r="M130" s="417"/>
      <c r="N130" s="781"/>
      <c r="O130" s="778"/>
      <c r="P130" s="778"/>
      <c r="Q130" s="778"/>
    </row>
    <row r="131" spans="1:17" ht="16.5" customHeight="1" x14ac:dyDescent="0.35">
      <c r="A131" s="261"/>
      <c r="B131" s="262" t="str">
        <f>$B1</f>
        <v>CENTLEC : ELECTRICITY SERVICES COSTS FOR MANGAUNG METROPOLITAN MUNICIPALITY</v>
      </c>
      <c r="C131" s="263"/>
      <c r="D131" s="534"/>
      <c r="E131" s="606"/>
      <c r="F131" s="859"/>
      <c r="G131" s="228"/>
      <c r="H131" s="229"/>
      <c r="I131" s="562"/>
      <c r="J131" s="271"/>
      <c r="K131" s="851"/>
      <c r="L131" s="852"/>
      <c r="M131" s="417"/>
      <c r="N131" s="781"/>
      <c r="O131" s="778"/>
      <c r="P131" s="778"/>
      <c r="Q131" s="778"/>
    </row>
    <row r="132" spans="1:17" x14ac:dyDescent="0.35">
      <c r="A132" s="269"/>
      <c r="B132" s="227" t="str">
        <f>'Other Serv'!B2</f>
        <v>Other Services</v>
      </c>
      <c r="C132" s="226"/>
      <c r="D132" s="516"/>
      <c r="E132" s="606"/>
      <c r="F132" s="224"/>
      <c r="G132" s="228"/>
      <c r="H132" s="229"/>
      <c r="I132" s="562"/>
      <c r="J132" s="271"/>
      <c r="K132" s="851"/>
      <c r="L132" s="852"/>
      <c r="M132" s="417"/>
      <c r="N132" s="781"/>
      <c r="O132" s="778"/>
      <c r="P132" s="778"/>
      <c r="Q132" s="778"/>
    </row>
    <row r="133" spans="1:17" x14ac:dyDescent="0.35">
      <c r="A133" s="269"/>
      <c r="B133" s="225"/>
      <c r="C133" s="226"/>
      <c r="D133" s="516"/>
      <c r="E133" s="606"/>
      <c r="F133" s="224"/>
      <c r="G133" s="228"/>
      <c r="H133" s="229"/>
      <c r="I133" s="562"/>
      <c r="J133" s="271"/>
      <c r="K133" s="851"/>
      <c r="L133" s="852"/>
      <c r="M133" s="417"/>
      <c r="N133" s="781"/>
      <c r="O133" s="778"/>
      <c r="P133" s="778"/>
      <c r="Q133" s="778"/>
    </row>
    <row r="134" spans="1:17" x14ac:dyDescent="0.35">
      <c r="A134" s="269"/>
      <c r="B134" s="514" t="str">
        <f>'Other Serv'!B4</f>
        <v>5.  ILLUMINATING SIGNS</v>
      </c>
      <c r="C134" s="226"/>
      <c r="D134" s="521"/>
      <c r="E134" s="606"/>
      <c r="F134" s="224"/>
      <c r="G134" s="228"/>
      <c r="H134" s="229"/>
      <c r="I134" s="562"/>
      <c r="J134" s="271"/>
      <c r="K134" s="851"/>
      <c r="L134" s="852"/>
      <c r="M134" s="417"/>
      <c r="N134" s="781"/>
      <c r="O134" s="778"/>
      <c r="P134" s="778"/>
      <c r="Q134" s="778"/>
    </row>
    <row r="135" spans="1:17" ht="15" thickBot="1" x14ac:dyDescent="0.4">
      <c r="A135" s="293"/>
      <c r="B135" s="837" t="s">
        <v>733</v>
      </c>
      <c r="C135" s="295"/>
      <c r="D135" s="521">
        <f>'Other Serv'!H15</f>
        <v>111</v>
      </c>
      <c r="E135" s="606">
        <f t="shared" si="4"/>
        <v>127.64999999999999</v>
      </c>
      <c r="F135" s="862">
        <f>'Other Serv'!I15</f>
        <v>1656</v>
      </c>
      <c r="G135" s="228">
        <f t="shared" si="5"/>
        <v>11.972972972972974</v>
      </c>
      <c r="H135" s="229">
        <f t="shared" si="6"/>
        <v>248.39999999999998</v>
      </c>
      <c r="I135" s="562">
        <f t="shared" si="7"/>
        <v>1904.4</v>
      </c>
      <c r="J135" s="271">
        <v>9100033030527</v>
      </c>
      <c r="K135" s="851">
        <f>+$F135*(1+'Unit tariffs'!$F$2)</f>
        <v>1750.3919999999998</v>
      </c>
      <c r="L135" s="852">
        <f>+$K135*(1+'Unit tariffs'!$F$2)</f>
        <v>1850.1643439999998</v>
      </c>
      <c r="M135" s="417">
        <f>+$L135*(1+'Unit tariffs'!$F$2)</f>
        <v>1955.6237116079997</v>
      </c>
      <c r="N135" s="781">
        <f>+$M135*(1+'Unit tariffs'!$F$2)</f>
        <v>2067.0942631696557</v>
      </c>
      <c r="O135" s="778"/>
      <c r="P135" s="778"/>
      <c r="Q135" s="778"/>
    </row>
    <row r="136" spans="1:17" ht="15" thickTop="1" x14ac:dyDescent="0.35">
      <c r="A136" s="286"/>
      <c r="B136" s="287"/>
      <c r="C136" s="288"/>
      <c r="D136" s="525"/>
      <c r="E136" s="606"/>
      <c r="F136" s="866"/>
      <c r="G136" s="228"/>
      <c r="H136" s="229"/>
      <c r="I136" s="562"/>
      <c r="J136" s="271"/>
      <c r="K136" s="851"/>
      <c r="L136" s="852"/>
      <c r="M136" s="417"/>
      <c r="N136" s="781"/>
      <c r="O136" s="778"/>
      <c r="P136" s="778"/>
      <c r="Q136" s="778"/>
    </row>
    <row r="137" spans="1:17" x14ac:dyDescent="0.35">
      <c r="A137" s="269"/>
      <c r="B137" s="221" t="str">
        <f>'Other Serv'!B19</f>
        <v xml:space="preserve">6. Shifting </v>
      </c>
      <c r="C137" s="222"/>
      <c r="D137" s="521"/>
      <c r="E137" s="606"/>
      <c r="F137" s="862"/>
      <c r="G137" s="228"/>
      <c r="H137" s="229"/>
      <c r="I137" s="562"/>
      <c r="J137" s="271"/>
      <c r="K137" s="851"/>
      <c r="L137" s="852"/>
      <c r="M137" s="417"/>
      <c r="N137" s="781"/>
      <c r="O137" s="778"/>
      <c r="P137" s="778"/>
      <c r="Q137" s="778"/>
    </row>
    <row r="138" spans="1:17" x14ac:dyDescent="0.35">
      <c r="A138" s="269"/>
      <c r="B138" s="221" t="str">
        <f>'Other Serv'!B21</f>
        <v>6.1 Shifting of meter to meter box on stand boundary - Domestic connection - Urban</v>
      </c>
      <c r="C138" s="222"/>
      <c r="D138" s="521">
        <f>'Other Serv'!H28</f>
        <v>4980</v>
      </c>
      <c r="E138" s="606">
        <f t="shared" si="4"/>
        <v>5727</v>
      </c>
      <c r="F138" s="862">
        <f>'Other Serv'!I28</f>
        <v>4930</v>
      </c>
      <c r="G138" s="228">
        <f t="shared" si="5"/>
        <v>-0.13916535708049591</v>
      </c>
      <c r="H138" s="229">
        <f t="shared" si="6"/>
        <v>739.5</v>
      </c>
      <c r="I138" s="562">
        <f t="shared" si="7"/>
        <v>5669.5</v>
      </c>
      <c r="J138" s="271">
        <v>9100033030530</v>
      </c>
      <c r="K138" s="851">
        <f>+$F138*(1+'Unit tariffs'!$F$2)</f>
        <v>5211.0099999999993</v>
      </c>
      <c r="L138" s="852">
        <f>+$K138*(1+'Unit tariffs'!$F$2)</f>
        <v>5508.0375699999986</v>
      </c>
      <c r="M138" s="417">
        <f>+$L138*(1+'Unit tariffs'!$F$2)</f>
        <v>5821.995711489998</v>
      </c>
      <c r="N138" s="781">
        <f>+$M138*(1+'Unit tariffs'!$F$2)</f>
        <v>6153.8494670449272</v>
      </c>
      <c r="O138" s="779"/>
      <c r="P138" s="779"/>
      <c r="Q138" s="779"/>
    </row>
    <row r="139" spans="1:17" x14ac:dyDescent="0.35">
      <c r="A139" s="269"/>
      <c r="B139" s="221"/>
      <c r="C139" s="222"/>
      <c r="D139" s="521"/>
      <c r="E139" s="606"/>
      <c r="F139" s="862"/>
      <c r="G139" s="228"/>
      <c r="H139" s="229"/>
      <c r="I139" s="562"/>
      <c r="J139" s="271"/>
      <c r="K139" s="851"/>
      <c r="L139" s="852"/>
      <c r="M139" s="417"/>
      <c r="N139" s="781"/>
      <c r="O139" s="779"/>
      <c r="P139" s="779"/>
      <c r="Q139" s="779"/>
    </row>
    <row r="140" spans="1:17" ht="26" x14ac:dyDescent="0.35">
      <c r="A140" s="269"/>
      <c r="B140" s="221" t="str">
        <f>'Other Serv'!B33</f>
        <v>6.2 Shifting of connection - Pre-payment with ready board (per single connection) - Overhead only</v>
      </c>
      <c r="C140" s="222"/>
      <c r="D140" s="521">
        <f>'Other Serv'!H57</f>
        <v>2760</v>
      </c>
      <c r="E140" s="606">
        <f t="shared" ref="E140:E147" si="8">D140*1.15</f>
        <v>3173.9999999999995</v>
      </c>
      <c r="F140" s="862">
        <f>'Other Serv'!I57</f>
        <v>3440</v>
      </c>
      <c r="G140" s="228">
        <f t="shared" si="5"/>
        <v>8.3805923125393977E-2</v>
      </c>
      <c r="H140" s="229">
        <f t="shared" si="6"/>
        <v>516</v>
      </c>
      <c r="I140" s="562">
        <f t="shared" si="7"/>
        <v>3956</v>
      </c>
      <c r="J140" s="271">
        <v>9100033030532</v>
      </c>
      <c r="K140" s="851">
        <f>+$F140*(1+'Unit tariffs'!$F$2)</f>
        <v>3636.08</v>
      </c>
      <c r="L140" s="852">
        <f>+$K140*(1+'Unit tariffs'!$F$2)</f>
        <v>3843.3365599999997</v>
      </c>
      <c r="M140" s="417">
        <f>+$L140*(1+'Unit tariffs'!$F$2)</f>
        <v>4062.4067439199994</v>
      </c>
      <c r="N140" s="781">
        <f>+$M140*(1+'Unit tariffs'!$F$2)</f>
        <v>4293.9639283234392</v>
      </c>
      <c r="O140" s="779"/>
      <c r="P140" s="779"/>
      <c r="Q140" s="779"/>
    </row>
    <row r="141" spans="1:17" x14ac:dyDescent="0.35">
      <c r="A141" s="269"/>
      <c r="B141" s="221"/>
      <c r="C141" s="222"/>
      <c r="D141" s="521"/>
      <c r="E141" s="606"/>
      <c r="F141" s="862"/>
      <c r="G141" s="228"/>
      <c r="H141" s="229"/>
      <c r="I141" s="562"/>
      <c r="J141" s="271"/>
      <c r="K141" s="851"/>
      <c r="L141" s="852"/>
      <c r="M141" s="417"/>
      <c r="N141" s="781"/>
      <c r="O141" s="779"/>
      <c r="P141" s="779"/>
      <c r="Q141" s="779"/>
    </row>
    <row r="142" spans="1:17" x14ac:dyDescent="0.35">
      <c r="A142" s="269"/>
      <c r="B142" s="221" t="str">
        <f>'Other Serv'!B64</f>
        <v>7. Hiring of Genset</v>
      </c>
      <c r="C142" s="222"/>
      <c r="D142" s="521">
        <f>'Other Serv'!H86</f>
        <v>14740</v>
      </c>
      <c r="E142" s="606">
        <f t="shared" si="8"/>
        <v>16951</v>
      </c>
      <c r="F142" s="862">
        <f>'Other Serv'!I86</f>
        <v>17920</v>
      </c>
      <c r="G142" s="228">
        <f t="shared" si="5"/>
        <v>5.7164769040174618E-2</v>
      </c>
      <c r="H142" s="229">
        <f t="shared" si="6"/>
        <v>2688</v>
      </c>
      <c r="I142" s="562">
        <f t="shared" si="7"/>
        <v>20608</v>
      </c>
      <c r="J142" s="271">
        <v>9100033030534</v>
      </c>
      <c r="K142" s="851">
        <f>+$F142*(1+'Unit tariffs'!$F$2)</f>
        <v>18941.439999999999</v>
      </c>
      <c r="L142" s="852">
        <f>+$K142*(1+'Unit tariffs'!$F$2)</f>
        <v>20021.102079999997</v>
      </c>
      <c r="M142" s="417">
        <f>+$L142*(1+'Unit tariffs'!$F$2)</f>
        <v>21162.304898559996</v>
      </c>
      <c r="N142" s="781">
        <f>+$M142*(1+'Unit tariffs'!$F$2)</f>
        <v>22368.556277777916</v>
      </c>
      <c r="O142" s="779"/>
      <c r="P142" s="779"/>
      <c r="Q142" s="779"/>
    </row>
    <row r="143" spans="1:17" x14ac:dyDescent="0.35">
      <c r="A143" s="269"/>
      <c r="B143" s="221"/>
      <c r="C143" s="222"/>
      <c r="D143" s="521"/>
      <c r="E143" s="606"/>
      <c r="F143" s="862"/>
      <c r="G143" s="228"/>
      <c r="H143" s="229"/>
      <c r="I143" s="562"/>
      <c r="J143" s="271"/>
      <c r="K143" s="851"/>
      <c r="L143" s="852"/>
      <c r="M143" s="417"/>
      <c r="N143" s="781"/>
      <c r="O143" s="779"/>
      <c r="P143" s="779"/>
      <c r="Q143" s="779"/>
    </row>
    <row r="144" spans="1:17" x14ac:dyDescent="0.35">
      <c r="A144" s="269"/>
      <c r="B144" s="221" t="str">
        <f>'Other Serv'!B95</f>
        <v>8. Conversion of a Meters</v>
      </c>
      <c r="C144" s="222"/>
      <c r="D144" s="521"/>
      <c r="E144" s="606"/>
      <c r="F144" s="862"/>
      <c r="G144" s="228"/>
      <c r="H144" s="229"/>
      <c r="I144" s="562"/>
      <c r="J144" s="271"/>
      <c r="K144" s="851"/>
      <c r="L144" s="852"/>
      <c r="M144" s="417"/>
      <c r="N144" s="781"/>
      <c r="O144" s="779"/>
      <c r="P144" s="779"/>
      <c r="Q144" s="779"/>
    </row>
    <row r="145" spans="1:20" ht="25" x14ac:dyDescent="0.35">
      <c r="A145" s="269"/>
      <c r="B145" s="830" t="str">
        <f>'Other Serv'!B97</f>
        <v>8.1 Conversion of a single register meter to Single phase Pre-payment where meterbox exist on erf boundary - ( No charge for Prepayment  meter)</v>
      </c>
      <c r="C145" s="222"/>
      <c r="D145" s="521">
        <f>'Other Serv'!H120</f>
        <v>2060</v>
      </c>
      <c r="E145" s="606">
        <f t="shared" si="8"/>
        <v>2369</v>
      </c>
      <c r="F145" s="862">
        <f>'Other Serv'!I120</f>
        <v>2330</v>
      </c>
      <c r="G145" s="228">
        <f t="shared" si="5"/>
        <v>-1.6462642465175179E-2</v>
      </c>
      <c r="H145" s="229">
        <f t="shared" si="6"/>
        <v>349.5</v>
      </c>
      <c r="I145" s="562">
        <f t="shared" si="7"/>
        <v>2679.5</v>
      </c>
      <c r="J145" s="271">
        <v>9100033030537</v>
      </c>
      <c r="K145" s="851">
        <f>+$F145*(1+'Unit tariffs'!$F$2)</f>
        <v>2462.81</v>
      </c>
      <c r="L145" s="852">
        <f>+$K145*(1+'Unit tariffs'!$F$2)</f>
        <v>2603.1901699999999</v>
      </c>
      <c r="M145" s="417">
        <f>+$L145*(1+'Unit tariffs'!$F$2)</f>
        <v>2751.5720096899995</v>
      </c>
      <c r="N145" s="781">
        <f>+$M145*(1+'Unit tariffs'!$F$2)</f>
        <v>2908.4116142423295</v>
      </c>
      <c r="O145" s="779"/>
      <c r="P145" s="779"/>
      <c r="Q145" s="779"/>
    </row>
    <row r="146" spans="1:20" x14ac:dyDescent="0.35">
      <c r="A146" s="269"/>
      <c r="B146" s="221"/>
      <c r="C146" s="222"/>
      <c r="D146" s="521"/>
      <c r="E146" s="606"/>
      <c r="F146" s="862"/>
      <c r="G146" s="228"/>
      <c r="H146" s="229"/>
      <c r="I146" s="562"/>
      <c r="J146" s="271"/>
      <c r="K146" s="851"/>
      <c r="L146" s="852"/>
      <c r="M146" s="417"/>
      <c r="N146" s="781"/>
      <c r="O146" s="779"/>
      <c r="P146" s="779"/>
      <c r="Q146" s="779"/>
    </row>
    <row r="147" spans="1:20" ht="25" x14ac:dyDescent="0.35">
      <c r="A147" s="269"/>
      <c r="B147" s="830" t="str">
        <f>'Other Serv'!B129</f>
        <v>8.2 Conversion of Three phase (TOU/kWH) connection to Prepayment meter - Existing meterbox on erf boundary</v>
      </c>
      <c r="C147" s="222"/>
      <c r="D147" s="521">
        <f>'Other Serv'!H152</f>
        <v>1810</v>
      </c>
      <c r="E147" s="606">
        <f t="shared" si="8"/>
        <v>2081.5</v>
      </c>
      <c r="F147" s="862">
        <f>'Other Serv'!I152</f>
        <v>2030</v>
      </c>
      <c r="G147" s="228">
        <f t="shared" si="5"/>
        <v>-2.4741772760028827E-2</v>
      </c>
      <c r="H147" s="229">
        <f t="shared" si="6"/>
        <v>304.5</v>
      </c>
      <c r="I147" s="562">
        <f t="shared" si="7"/>
        <v>2334.5</v>
      </c>
      <c r="J147" s="271">
        <v>9100033030539</v>
      </c>
      <c r="K147" s="851">
        <f>+$F147*(1+'Unit tariffs'!$F$2)</f>
        <v>2145.71</v>
      </c>
      <c r="L147" s="852">
        <f>+$K147*(1+'Unit tariffs'!$F$2)</f>
        <v>2268.0154699999998</v>
      </c>
      <c r="M147" s="417">
        <f>+$L147*(1+'Unit tariffs'!$F$2)</f>
        <v>2397.2923517899999</v>
      </c>
      <c r="N147" s="781">
        <f>+$M147*(1+'Unit tariffs'!$F$2)</f>
        <v>2533.9380158420299</v>
      </c>
      <c r="O147" s="779"/>
      <c r="P147" s="779"/>
      <c r="Q147" s="779"/>
    </row>
    <row r="148" spans="1:20" ht="15" thickBot="1" x14ac:dyDescent="0.4">
      <c r="A148" s="269"/>
      <c r="B148" s="221"/>
      <c r="C148" s="222"/>
      <c r="D148" s="521"/>
      <c r="E148" s="606"/>
      <c r="F148" s="862"/>
      <c r="G148" s="228"/>
      <c r="H148" s="229"/>
      <c r="I148" s="562"/>
      <c r="J148" s="271"/>
      <c r="K148" s="851"/>
      <c r="L148" s="852"/>
      <c r="M148" s="417"/>
      <c r="N148" s="781"/>
      <c r="O148" s="779"/>
      <c r="P148" s="779"/>
      <c r="Q148" s="779"/>
    </row>
    <row r="149" spans="1:20" ht="58.25" customHeight="1" x14ac:dyDescent="0.35">
      <c r="A149" s="269"/>
      <c r="B149" s="898" t="s">
        <v>706</v>
      </c>
      <c r="C149" s="899"/>
      <c r="D149" s="248" t="s">
        <v>251</v>
      </c>
      <c r="E149" s="606"/>
      <c r="F149" s="867" t="s">
        <v>344</v>
      </c>
      <c r="G149" s="663" t="s">
        <v>442</v>
      </c>
      <c r="H149" s="229"/>
      <c r="I149" s="562"/>
      <c r="J149" s="271"/>
      <c r="K149" s="851"/>
      <c r="L149" s="852"/>
      <c r="M149" s="417"/>
      <c r="N149" s="781"/>
      <c r="O149" s="779"/>
      <c r="P149" s="779"/>
      <c r="Q149" s="779"/>
    </row>
    <row r="150" spans="1:20" ht="58.25" customHeight="1" x14ac:dyDescent="0.35">
      <c r="A150" s="269"/>
      <c r="B150" s="900" t="s">
        <v>707</v>
      </c>
      <c r="C150" s="901"/>
      <c r="D150" s="248" t="s">
        <v>251</v>
      </c>
      <c r="E150" s="606"/>
      <c r="F150" s="867" t="s">
        <v>344</v>
      </c>
      <c r="G150" s="664" t="s">
        <v>344</v>
      </c>
      <c r="H150" s="230"/>
      <c r="I150" s="224"/>
      <c r="J150" s="272"/>
      <c r="K150" s="855"/>
      <c r="L150" s="856"/>
      <c r="M150" s="409"/>
      <c r="N150" s="781"/>
      <c r="O150" s="779"/>
      <c r="P150" s="779"/>
      <c r="Q150" s="779"/>
    </row>
    <row r="151" spans="1:20" ht="58.25" customHeight="1" x14ac:dyDescent="0.35">
      <c r="A151" s="286"/>
      <c r="B151" s="900" t="s">
        <v>708</v>
      </c>
      <c r="C151" s="901"/>
      <c r="D151" s="250" t="s">
        <v>253</v>
      </c>
      <c r="E151" s="606"/>
      <c r="F151" s="867" t="s">
        <v>343</v>
      </c>
      <c r="G151" s="664" t="s">
        <v>343</v>
      </c>
      <c r="H151" s="291"/>
      <c r="I151" s="560"/>
      <c r="J151" s="310"/>
      <c r="K151" s="875"/>
      <c r="L151" s="881"/>
      <c r="M151" s="413"/>
      <c r="N151" s="781"/>
      <c r="O151" s="779"/>
      <c r="P151" s="779"/>
      <c r="Q151" s="779"/>
    </row>
    <row r="152" spans="1:20" ht="58.25" customHeight="1" x14ac:dyDescent="0.35">
      <c r="A152" s="269"/>
      <c r="B152" s="900" t="s">
        <v>709</v>
      </c>
      <c r="C152" s="901"/>
      <c r="D152" s="250" t="s">
        <v>254</v>
      </c>
      <c r="E152" s="606"/>
      <c r="F152" s="867" t="s">
        <v>255</v>
      </c>
      <c r="G152" s="664" t="s">
        <v>255</v>
      </c>
      <c r="H152" s="216"/>
      <c r="I152" s="561"/>
      <c r="J152" s="270"/>
      <c r="K152" s="855"/>
      <c r="L152" s="856"/>
      <c r="M152" s="415"/>
      <c r="N152" s="781"/>
      <c r="O152" s="779"/>
      <c r="P152" s="779"/>
      <c r="Q152" s="779"/>
    </row>
    <row r="153" spans="1:20" ht="58.25" customHeight="1" x14ac:dyDescent="0.35">
      <c r="A153" s="269"/>
      <c r="B153" s="900" t="s">
        <v>710</v>
      </c>
      <c r="C153" s="901"/>
      <c r="D153" s="250" t="s">
        <v>255</v>
      </c>
      <c r="E153" s="606"/>
      <c r="F153" s="867" t="s">
        <v>342</v>
      </c>
      <c r="G153" s="663" t="s">
        <v>342</v>
      </c>
      <c r="H153" s="229"/>
      <c r="I153" s="562"/>
      <c r="J153" s="271"/>
      <c r="K153" s="851"/>
      <c r="L153" s="852"/>
      <c r="M153" s="417"/>
      <c r="N153" s="781"/>
      <c r="O153" s="779"/>
      <c r="P153" s="779"/>
      <c r="Q153" s="779"/>
    </row>
    <row r="154" spans="1:20" x14ac:dyDescent="0.35">
      <c r="A154" s="269"/>
      <c r="B154" s="842"/>
      <c r="C154" s="843"/>
      <c r="D154" s="250"/>
      <c r="E154" s="606"/>
      <c r="F154" s="867"/>
      <c r="G154" s="663"/>
      <c r="H154" s="229"/>
      <c r="I154" s="562"/>
      <c r="J154" s="271"/>
      <c r="K154" s="851"/>
      <c r="L154" s="852"/>
      <c r="M154" s="417"/>
      <c r="N154" s="781"/>
      <c r="O154" s="779"/>
      <c r="P154" s="779"/>
      <c r="Q154" s="779"/>
    </row>
    <row r="155" spans="1:20" x14ac:dyDescent="0.35">
      <c r="A155" s="269"/>
      <c r="B155" s="307" t="s">
        <v>739</v>
      </c>
      <c r="C155" s="222"/>
      <c r="D155" s="521"/>
      <c r="E155" s="606"/>
      <c r="F155" s="862"/>
      <c r="G155" s="242"/>
      <c r="H155" s="230"/>
      <c r="I155" s="224"/>
      <c r="J155" s="272"/>
      <c r="K155" s="855"/>
      <c r="L155" s="856"/>
      <c r="M155" s="409"/>
      <c r="N155" s="781"/>
      <c r="O155" s="779"/>
      <c r="P155" s="779"/>
      <c r="Q155" s="779"/>
    </row>
    <row r="156" spans="1:20" x14ac:dyDescent="0.35">
      <c r="A156" s="269"/>
      <c r="B156" s="857" t="s">
        <v>740</v>
      </c>
      <c r="C156" s="222"/>
      <c r="D156" s="521"/>
      <c r="E156" s="606"/>
      <c r="F156" s="862"/>
      <c r="G156" s="242"/>
      <c r="H156" s="230"/>
      <c r="I156" s="224"/>
      <c r="J156" s="272"/>
      <c r="K156" s="855"/>
      <c r="L156" s="856"/>
      <c r="M156" s="409"/>
      <c r="N156" s="781"/>
      <c r="O156" s="779"/>
      <c r="P156" s="779"/>
      <c r="Q156" s="779"/>
    </row>
    <row r="157" spans="1:20" x14ac:dyDescent="0.35">
      <c r="A157" s="269"/>
      <c r="B157" s="858" t="s">
        <v>741</v>
      </c>
      <c r="C157" s="688" t="s">
        <v>232</v>
      </c>
      <c r="D157" s="521"/>
      <c r="E157" s="606"/>
      <c r="F157" s="862">
        <v>15001.434782608698</v>
      </c>
      <c r="G157" s="242"/>
      <c r="H157" s="230"/>
      <c r="I157" s="224"/>
      <c r="J157" s="272"/>
      <c r="K157" s="851">
        <v>15676.499347826089</v>
      </c>
      <c r="L157" s="852">
        <v>16068.41183152174</v>
      </c>
      <c r="M157" s="409"/>
      <c r="N157" s="781"/>
      <c r="O157" s="779"/>
      <c r="P157" s="779"/>
      <c r="Q157" s="779"/>
      <c r="R157" s="846"/>
      <c r="S157" s="846"/>
      <c r="T157" s="846"/>
    </row>
    <row r="158" spans="1:20" x14ac:dyDescent="0.35">
      <c r="A158" s="269"/>
      <c r="B158" s="858" t="s">
        <v>742</v>
      </c>
      <c r="C158" s="688" t="s">
        <v>232</v>
      </c>
      <c r="D158" s="521"/>
      <c r="E158" s="606"/>
      <c r="F158" s="862">
        <v>22142.243478260869</v>
      </c>
      <c r="G158" s="242"/>
      <c r="H158" s="230"/>
      <c r="I158" s="224"/>
      <c r="J158" s="272"/>
      <c r="K158" s="851">
        <v>23138.644434782611</v>
      </c>
      <c r="L158" s="852">
        <v>23717.110545652176</v>
      </c>
      <c r="M158" s="409"/>
      <c r="N158" s="781"/>
      <c r="O158" s="779"/>
      <c r="P158" s="779"/>
      <c r="Q158" s="779"/>
      <c r="R158" s="846"/>
      <c r="S158" s="846"/>
      <c r="T158" s="846"/>
    </row>
    <row r="159" spans="1:20" x14ac:dyDescent="0.35">
      <c r="A159" s="269"/>
      <c r="B159" s="858" t="s">
        <v>743</v>
      </c>
      <c r="C159" s="688" t="s">
        <v>232</v>
      </c>
      <c r="D159" s="521"/>
      <c r="E159" s="606"/>
      <c r="F159" s="862">
        <v>32113.26956521739</v>
      </c>
      <c r="G159" s="242"/>
      <c r="H159" s="230"/>
      <c r="I159" s="224"/>
      <c r="J159" s="272"/>
      <c r="K159" s="851">
        <v>33558.366695652177</v>
      </c>
      <c r="L159" s="852">
        <v>34397.325863043487</v>
      </c>
      <c r="M159" s="409"/>
      <c r="N159" s="781"/>
      <c r="O159" s="779"/>
      <c r="P159" s="779"/>
      <c r="Q159" s="779"/>
      <c r="R159" s="846"/>
      <c r="S159" s="846"/>
      <c r="T159" s="846"/>
    </row>
    <row r="160" spans="1:20" x14ac:dyDescent="0.35">
      <c r="A160" s="269"/>
      <c r="B160" s="858" t="s">
        <v>744</v>
      </c>
      <c r="C160" s="688" t="s">
        <v>232</v>
      </c>
      <c r="D160" s="521"/>
      <c r="E160" s="606"/>
      <c r="F160" s="862">
        <v>34741.730434782607</v>
      </c>
      <c r="G160" s="242"/>
      <c r="H160" s="230"/>
      <c r="I160" s="224"/>
      <c r="J160" s="272"/>
      <c r="K160" s="851">
        <v>36305.108304347828</v>
      </c>
      <c r="L160" s="852">
        <v>37212.73601195652</v>
      </c>
      <c r="M160" s="409"/>
      <c r="N160" s="781"/>
      <c r="O160" s="779"/>
      <c r="P160" s="779"/>
      <c r="Q160" s="779"/>
      <c r="R160" s="846"/>
      <c r="S160" s="846"/>
      <c r="T160" s="846"/>
    </row>
    <row r="161" spans="1:20" x14ac:dyDescent="0.35">
      <c r="A161" s="269"/>
      <c r="B161" s="858"/>
      <c r="C161" s="222"/>
      <c r="D161" s="521"/>
      <c r="E161" s="606"/>
      <c r="F161" s="862"/>
      <c r="G161" s="242"/>
      <c r="H161" s="230"/>
      <c r="I161" s="224"/>
      <c r="J161" s="272"/>
      <c r="K161" s="851"/>
      <c r="L161" s="852"/>
      <c r="M161" s="409"/>
      <c r="N161" s="781"/>
      <c r="O161" s="779"/>
      <c r="P161" s="779"/>
      <c r="Q161" s="779"/>
    </row>
    <row r="162" spans="1:20" x14ac:dyDescent="0.35">
      <c r="A162" s="269"/>
      <c r="B162" s="857" t="s">
        <v>745</v>
      </c>
      <c r="C162" s="222"/>
      <c r="D162" s="521"/>
      <c r="E162" s="606"/>
      <c r="F162" s="862"/>
      <c r="G162" s="242"/>
      <c r="H162" s="230"/>
      <c r="I162" s="224"/>
      <c r="J162" s="272"/>
      <c r="K162" s="851"/>
      <c r="L162" s="852"/>
      <c r="M162" s="409"/>
      <c r="N162" s="781"/>
      <c r="O162" s="779"/>
      <c r="P162" s="779"/>
      <c r="Q162" s="779"/>
    </row>
    <row r="163" spans="1:20" x14ac:dyDescent="0.35">
      <c r="A163" s="269"/>
      <c r="B163" s="858" t="s">
        <v>746</v>
      </c>
      <c r="C163" s="688" t="s">
        <v>232</v>
      </c>
      <c r="D163" s="521"/>
      <c r="E163" s="606"/>
      <c r="F163" s="862">
        <v>36824.269565217393</v>
      </c>
      <c r="G163" s="242"/>
      <c r="H163" s="230"/>
      <c r="I163" s="224"/>
      <c r="J163" s="272"/>
      <c r="K163" s="851">
        <v>38481.36169565218</v>
      </c>
      <c r="L163" s="852">
        <v>39443.39573804348</v>
      </c>
      <c r="M163" s="409"/>
      <c r="N163" s="781"/>
      <c r="O163" s="779"/>
      <c r="P163" s="779"/>
      <c r="Q163" s="779"/>
      <c r="R163" s="846"/>
      <c r="S163" s="846"/>
      <c r="T163" s="846"/>
    </row>
    <row r="164" spans="1:20" ht="26" x14ac:dyDescent="0.35">
      <c r="A164" s="269"/>
      <c r="B164" s="858" t="s">
        <v>783</v>
      </c>
      <c r="C164" s="688" t="s">
        <v>232</v>
      </c>
      <c r="D164" s="521"/>
      <c r="E164" s="606"/>
      <c r="F164" s="862">
        <v>41952.026086956525</v>
      </c>
      <c r="G164" s="242"/>
      <c r="H164" s="230"/>
      <c r="I164" s="224"/>
      <c r="J164" s="272"/>
      <c r="K164" s="851">
        <v>43839.867260869571</v>
      </c>
      <c r="L164" s="852">
        <v>44935.863942391312</v>
      </c>
      <c r="M164" s="409"/>
      <c r="N164" s="781"/>
      <c r="O164" s="779"/>
      <c r="P164" s="779"/>
      <c r="Q164" s="779"/>
      <c r="R164" s="846"/>
      <c r="S164" s="846"/>
      <c r="T164" s="846"/>
    </row>
    <row r="165" spans="1:20" x14ac:dyDescent="0.35">
      <c r="A165" s="269"/>
      <c r="B165" s="858" t="s">
        <v>747</v>
      </c>
      <c r="C165" s="688" t="s">
        <v>232</v>
      </c>
      <c r="D165" s="521"/>
      <c r="E165" s="606"/>
      <c r="F165" s="862">
        <v>39728.017391304347</v>
      </c>
      <c r="G165" s="242"/>
      <c r="H165" s="230"/>
      <c r="I165" s="224"/>
      <c r="J165" s="272"/>
      <c r="K165" s="851">
        <v>41515.778173913044</v>
      </c>
      <c r="L165" s="852">
        <v>42553.672628260865</v>
      </c>
      <c r="M165" s="409"/>
      <c r="N165" s="781"/>
      <c r="O165" s="779"/>
      <c r="P165" s="779"/>
      <c r="Q165" s="779"/>
      <c r="R165" s="846"/>
      <c r="S165" s="846"/>
      <c r="T165" s="846"/>
    </row>
    <row r="166" spans="1:20" x14ac:dyDescent="0.35">
      <c r="A166" s="269"/>
      <c r="B166" s="858" t="s">
        <v>748</v>
      </c>
      <c r="C166" s="688" t="s">
        <v>232</v>
      </c>
      <c r="D166" s="521"/>
      <c r="E166" s="606"/>
      <c r="F166" s="862">
        <v>42928.008695652177</v>
      </c>
      <c r="G166" s="242"/>
      <c r="H166" s="230"/>
      <c r="I166" s="224"/>
      <c r="J166" s="272"/>
      <c r="K166" s="851">
        <v>44859.769086956519</v>
      </c>
      <c r="L166" s="852">
        <v>45981.263314130432</v>
      </c>
      <c r="M166" s="409"/>
      <c r="N166" s="781"/>
      <c r="O166" s="779"/>
      <c r="P166" s="779"/>
      <c r="Q166" s="779"/>
      <c r="R166" s="846"/>
      <c r="S166" s="846"/>
      <c r="T166" s="846"/>
    </row>
    <row r="167" spans="1:20" ht="26" x14ac:dyDescent="0.35">
      <c r="A167" s="269"/>
      <c r="B167" s="858" t="s">
        <v>784</v>
      </c>
      <c r="C167" s="688" t="s">
        <v>232</v>
      </c>
      <c r="D167" s="521"/>
      <c r="E167" s="606"/>
      <c r="F167" s="862">
        <v>62561.669565217395</v>
      </c>
      <c r="G167" s="242"/>
      <c r="H167" s="230"/>
      <c r="I167" s="224"/>
      <c r="J167" s="272"/>
      <c r="K167" s="851">
        <v>65376.944695652172</v>
      </c>
      <c r="L167" s="852">
        <v>67011.368313043466</v>
      </c>
      <c r="M167" s="409"/>
      <c r="N167" s="781"/>
      <c r="O167" s="779"/>
      <c r="P167" s="779"/>
      <c r="Q167" s="779"/>
      <c r="R167" s="846"/>
      <c r="S167" s="846"/>
      <c r="T167" s="846"/>
    </row>
    <row r="168" spans="1:20" x14ac:dyDescent="0.35">
      <c r="A168" s="269"/>
      <c r="B168" s="858" t="s">
        <v>749</v>
      </c>
      <c r="C168" s="688" t="s">
        <v>232</v>
      </c>
      <c r="D168" s="521"/>
      <c r="E168" s="606"/>
      <c r="F168" s="862">
        <v>51727.330434782605</v>
      </c>
      <c r="G168" s="242"/>
      <c r="H168" s="230"/>
      <c r="I168" s="224"/>
      <c r="J168" s="272"/>
      <c r="K168" s="851">
        <v>54055.060304347826</v>
      </c>
      <c r="L168" s="852">
        <v>55406.436811956519</v>
      </c>
      <c r="M168" s="409"/>
      <c r="N168" s="781"/>
      <c r="O168" s="779"/>
      <c r="P168" s="779"/>
      <c r="Q168" s="779"/>
      <c r="R168" s="846"/>
      <c r="S168" s="846"/>
      <c r="T168" s="846"/>
    </row>
    <row r="169" spans="1:20" x14ac:dyDescent="0.35">
      <c r="A169" s="269"/>
      <c r="B169" s="858"/>
      <c r="C169" s="222"/>
      <c r="D169" s="521"/>
      <c r="E169" s="606"/>
      <c r="F169" s="862"/>
      <c r="G169" s="242"/>
      <c r="H169" s="230"/>
      <c r="I169" s="224"/>
      <c r="J169" s="272"/>
      <c r="K169" s="851"/>
      <c r="L169" s="852"/>
      <c r="M169" s="409"/>
      <c r="N169" s="781"/>
      <c r="O169" s="779"/>
      <c r="P169" s="779"/>
      <c r="Q169" s="779"/>
    </row>
    <row r="170" spans="1:20" x14ac:dyDescent="0.35">
      <c r="A170" s="269"/>
      <c r="B170" s="857" t="s">
        <v>750</v>
      </c>
      <c r="C170" s="222"/>
      <c r="D170" s="521"/>
      <c r="E170" s="606"/>
      <c r="F170" s="862"/>
      <c r="G170" s="242"/>
      <c r="H170" s="230"/>
      <c r="I170" s="224"/>
      <c r="J170" s="272"/>
      <c r="K170" s="851"/>
      <c r="L170" s="852"/>
      <c r="M170" s="409"/>
      <c r="N170" s="781"/>
      <c r="O170" s="779"/>
      <c r="P170" s="779"/>
      <c r="Q170" s="779"/>
    </row>
    <row r="171" spans="1:20" x14ac:dyDescent="0.35">
      <c r="A171" s="269"/>
      <c r="B171" s="858" t="s">
        <v>751</v>
      </c>
      <c r="C171" s="688" t="s">
        <v>232</v>
      </c>
      <c r="D171" s="521"/>
      <c r="E171" s="606"/>
      <c r="F171" s="862">
        <v>132573.64347826087</v>
      </c>
      <c r="G171" s="242"/>
      <c r="H171" s="230"/>
      <c r="I171" s="224"/>
      <c r="J171" s="272"/>
      <c r="K171" s="851">
        <v>138539.45743478258</v>
      </c>
      <c r="L171" s="852">
        <v>142002.94387065215</v>
      </c>
      <c r="M171" s="409"/>
      <c r="N171" s="781"/>
      <c r="O171" s="779"/>
      <c r="P171" s="779"/>
      <c r="Q171" s="779"/>
      <c r="R171" s="846"/>
      <c r="S171" s="846"/>
      <c r="T171" s="846"/>
    </row>
    <row r="172" spans="1:20" x14ac:dyDescent="0.35">
      <c r="A172" s="269"/>
      <c r="B172" s="858" t="s">
        <v>752</v>
      </c>
      <c r="C172" s="688" t="s">
        <v>232</v>
      </c>
      <c r="D172" s="521"/>
      <c r="E172" s="606"/>
      <c r="F172" s="862">
        <v>205513.7304347826</v>
      </c>
      <c r="G172" s="242"/>
      <c r="H172" s="230"/>
      <c r="I172" s="224"/>
      <c r="J172" s="272"/>
      <c r="K172" s="851">
        <v>214761.84830434783</v>
      </c>
      <c r="L172" s="852">
        <v>220130.89451195652</v>
      </c>
      <c r="M172" s="409"/>
      <c r="N172" s="781"/>
      <c r="O172" s="779"/>
      <c r="P172" s="779"/>
      <c r="Q172" s="779"/>
      <c r="R172" s="846"/>
      <c r="S172" s="846"/>
      <c r="T172" s="846"/>
    </row>
    <row r="173" spans="1:20" x14ac:dyDescent="0.35">
      <c r="A173" s="269"/>
      <c r="B173" s="858"/>
      <c r="C173" s="222"/>
      <c r="D173" s="521"/>
      <c r="E173" s="606"/>
      <c r="F173" s="862"/>
      <c r="G173" s="242"/>
      <c r="H173" s="230"/>
      <c r="I173" s="224"/>
      <c r="J173" s="272"/>
      <c r="K173" s="851"/>
      <c r="L173" s="852"/>
      <c r="M173" s="409"/>
      <c r="N173" s="781"/>
      <c r="O173" s="779"/>
      <c r="P173" s="779"/>
      <c r="Q173" s="779"/>
    </row>
    <row r="174" spans="1:20" x14ac:dyDescent="0.35">
      <c r="A174" s="269"/>
      <c r="B174" s="857" t="s">
        <v>753</v>
      </c>
      <c r="C174" s="222"/>
      <c r="D174" s="521"/>
      <c r="E174" s="606"/>
      <c r="F174" s="862"/>
      <c r="G174" s="242"/>
      <c r="H174" s="230"/>
      <c r="I174" s="224"/>
      <c r="J174" s="272"/>
      <c r="K174" s="851"/>
      <c r="L174" s="852"/>
      <c r="M174" s="409"/>
      <c r="N174" s="781"/>
      <c r="O174" s="779"/>
      <c r="P174" s="779"/>
      <c r="Q174" s="779"/>
    </row>
    <row r="175" spans="1:20" x14ac:dyDescent="0.35">
      <c r="A175" s="269"/>
      <c r="B175" s="858" t="s">
        <v>754</v>
      </c>
      <c r="C175" s="688" t="s">
        <v>232</v>
      </c>
      <c r="D175" s="521"/>
      <c r="E175" s="606"/>
      <c r="F175" s="862">
        <v>2871</v>
      </c>
      <c r="G175" s="242"/>
      <c r="H175" s="230"/>
      <c r="I175" s="224"/>
      <c r="J175" s="272"/>
      <c r="K175" s="851">
        <v>3000.1950000000006</v>
      </c>
      <c r="L175" s="852">
        <v>3075.1998749999998</v>
      </c>
      <c r="M175" s="409"/>
      <c r="N175" s="781"/>
      <c r="O175" s="779"/>
      <c r="P175" s="779"/>
      <c r="Q175" s="779"/>
      <c r="R175" s="846"/>
      <c r="S175" s="846"/>
      <c r="T175" s="846"/>
    </row>
    <row r="176" spans="1:20" ht="26" x14ac:dyDescent="0.35">
      <c r="A176" s="269"/>
      <c r="B176" s="858" t="s">
        <v>755</v>
      </c>
      <c r="C176" s="688" t="s">
        <v>232</v>
      </c>
      <c r="D176" s="521"/>
      <c r="E176" s="606"/>
      <c r="F176" s="862">
        <v>6428.304347826087</v>
      </c>
      <c r="G176" s="242"/>
      <c r="H176" s="230"/>
      <c r="I176" s="224"/>
      <c r="J176" s="272"/>
      <c r="K176" s="851">
        <v>6717.578043478261</v>
      </c>
      <c r="L176" s="852">
        <v>6885.5174945652179</v>
      </c>
      <c r="M176" s="409"/>
      <c r="N176" s="781"/>
      <c r="O176" s="779"/>
      <c r="P176" s="779"/>
      <c r="Q176" s="779"/>
      <c r="R176" s="846"/>
      <c r="S176" s="846"/>
      <c r="T176" s="846"/>
    </row>
    <row r="177" spans="1:20" x14ac:dyDescent="0.35">
      <c r="A177" s="269"/>
      <c r="B177" s="858" t="s">
        <v>756</v>
      </c>
      <c r="C177" s="688" t="s">
        <v>232</v>
      </c>
      <c r="D177" s="521"/>
      <c r="E177" s="606"/>
      <c r="F177" s="862">
        <v>10214.904347826086</v>
      </c>
      <c r="G177" s="242"/>
      <c r="H177" s="230"/>
      <c r="I177" s="224"/>
      <c r="J177" s="272"/>
      <c r="K177" s="851">
        <v>10674.575043478262</v>
      </c>
      <c r="L177" s="852">
        <v>10941.439419565218</v>
      </c>
      <c r="M177" s="409"/>
      <c r="N177" s="781"/>
      <c r="O177" s="779"/>
      <c r="P177" s="779"/>
      <c r="Q177" s="779"/>
      <c r="R177" s="846"/>
      <c r="S177" s="846"/>
      <c r="T177" s="846"/>
    </row>
    <row r="178" spans="1:20" x14ac:dyDescent="0.35">
      <c r="A178" s="269"/>
      <c r="B178" s="858"/>
      <c r="C178" s="222"/>
      <c r="D178" s="521"/>
      <c r="E178" s="606"/>
      <c r="F178" s="862"/>
      <c r="G178" s="242"/>
      <c r="H178" s="230"/>
      <c r="I178" s="224"/>
      <c r="J178" s="272"/>
      <c r="K178" s="851"/>
      <c r="L178" s="852"/>
      <c r="M178" s="409"/>
      <c r="N178" s="781"/>
      <c r="O178" s="779"/>
      <c r="P178" s="779"/>
      <c r="Q178" s="779"/>
    </row>
    <row r="179" spans="1:20" x14ac:dyDescent="0.35">
      <c r="A179" s="269"/>
      <c r="B179" s="857" t="s">
        <v>757</v>
      </c>
      <c r="C179" s="222"/>
      <c r="D179" s="521"/>
      <c r="E179" s="606"/>
      <c r="F179" s="862"/>
      <c r="G179" s="242"/>
      <c r="H179" s="230"/>
      <c r="I179" s="224"/>
      <c r="J179" s="272"/>
      <c r="K179" s="851"/>
      <c r="L179" s="852"/>
      <c r="M179" s="409"/>
      <c r="N179" s="781"/>
      <c r="O179" s="779"/>
      <c r="P179" s="779"/>
      <c r="Q179" s="779"/>
    </row>
    <row r="180" spans="1:20" x14ac:dyDescent="0.35">
      <c r="A180" s="269"/>
      <c r="B180" s="858" t="s">
        <v>758</v>
      </c>
      <c r="C180" s="688" t="s">
        <v>232</v>
      </c>
      <c r="D180" s="521"/>
      <c r="E180" s="606"/>
      <c r="F180" s="862">
        <v>18751.791304347826</v>
      </c>
      <c r="G180" s="242"/>
      <c r="H180" s="230"/>
      <c r="I180" s="224"/>
      <c r="J180" s="272"/>
      <c r="K180" s="851">
        <v>19595.62191304348</v>
      </c>
      <c r="L180" s="852">
        <v>20085.512460869566</v>
      </c>
      <c r="M180" s="409"/>
      <c r="N180" s="781"/>
      <c r="O180" s="779"/>
      <c r="P180" s="779"/>
      <c r="Q180" s="779"/>
      <c r="R180" s="846"/>
      <c r="S180" s="846"/>
      <c r="T180" s="846"/>
    </row>
    <row r="181" spans="1:20" x14ac:dyDescent="0.35">
      <c r="A181" s="269"/>
      <c r="B181" s="858" t="s">
        <v>759</v>
      </c>
      <c r="C181" s="688" t="s">
        <v>232</v>
      </c>
      <c r="D181" s="521"/>
      <c r="E181" s="606"/>
      <c r="F181" s="862">
        <v>23439.739130434784</v>
      </c>
      <c r="G181" s="242"/>
      <c r="H181" s="230"/>
      <c r="I181" s="224"/>
      <c r="J181" s="272"/>
      <c r="K181" s="851">
        <v>24494.527391304346</v>
      </c>
      <c r="L181" s="852">
        <v>25106.890576086953</v>
      </c>
      <c r="M181" s="409"/>
      <c r="N181" s="781"/>
      <c r="O181" s="779"/>
      <c r="P181" s="779"/>
      <c r="Q181" s="779"/>
      <c r="R181" s="846"/>
      <c r="S181" s="846"/>
      <c r="T181" s="846"/>
    </row>
    <row r="182" spans="1:20" x14ac:dyDescent="0.35">
      <c r="A182" s="269"/>
      <c r="B182" s="858" t="s">
        <v>760</v>
      </c>
      <c r="C182" s="688" t="s">
        <v>232</v>
      </c>
      <c r="D182" s="521"/>
      <c r="E182" s="606"/>
      <c r="F182" s="862">
        <v>27677.808695652173</v>
      </c>
      <c r="G182" s="242"/>
      <c r="H182" s="230"/>
      <c r="I182" s="224"/>
      <c r="J182" s="272"/>
      <c r="K182" s="851">
        <v>28923.310086956521</v>
      </c>
      <c r="L182" s="852">
        <v>29646.392839130436</v>
      </c>
      <c r="M182" s="409"/>
      <c r="N182" s="781"/>
      <c r="O182" s="779"/>
      <c r="P182" s="779"/>
      <c r="Q182" s="779"/>
      <c r="R182" s="846"/>
      <c r="S182" s="846"/>
      <c r="T182" s="846"/>
    </row>
    <row r="183" spans="1:20" x14ac:dyDescent="0.35">
      <c r="A183" s="269"/>
      <c r="B183" s="858" t="s">
        <v>761</v>
      </c>
      <c r="C183" s="688" t="s">
        <v>232</v>
      </c>
      <c r="D183" s="521"/>
      <c r="E183" s="606"/>
      <c r="F183" s="862">
        <v>34597.226086956522</v>
      </c>
      <c r="G183" s="242"/>
      <c r="H183" s="230"/>
      <c r="I183" s="224"/>
      <c r="J183" s="272"/>
      <c r="K183" s="851">
        <v>36154.101260869567</v>
      </c>
      <c r="L183" s="852">
        <v>37057.953792391301</v>
      </c>
      <c r="M183" s="409"/>
      <c r="N183" s="781"/>
      <c r="O183" s="779"/>
      <c r="P183" s="779"/>
      <c r="Q183" s="779"/>
      <c r="R183" s="846"/>
      <c r="S183" s="846"/>
      <c r="T183" s="846"/>
    </row>
    <row r="184" spans="1:20" x14ac:dyDescent="0.35">
      <c r="A184" s="269"/>
      <c r="B184" s="858" t="s">
        <v>762</v>
      </c>
      <c r="C184" s="688" t="s">
        <v>232</v>
      </c>
      <c r="D184" s="521"/>
      <c r="E184" s="606"/>
      <c r="F184" s="862">
        <v>40141.591304347829</v>
      </c>
      <c r="G184" s="242"/>
      <c r="H184" s="230"/>
      <c r="I184" s="224"/>
      <c r="J184" s="272"/>
      <c r="K184" s="851">
        <v>41947.962913043484</v>
      </c>
      <c r="L184" s="852">
        <v>42996.66198586957</v>
      </c>
      <c r="M184" s="409"/>
      <c r="N184" s="781"/>
      <c r="O184" s="779"/>
      <c r="P184" s="779"/>
      <c r="Q184" s="779"/>
      <c r="R184" s="846"/>
      <c r="S184" s="846"/>
      <c r="T184" s="846"/>
    </row>
    <row r="185" spans="1:20" x14ac:dyDescent="0.35">
      <c r="A185" s="269"/>
      <c r="B185" s="858" t="s">
        <v>763</v>
      </c>
      <c r="C185" s="688" t="s">
        <v>232</v>
      </c>
      <c r="D185" s="521"/>
      <c r="E185" s="606"/>
      <c r="F185" s="862">
        <v>50176.982608695653</v>
      </c>
      <c r="G185" s="242"/>
      <c r="H185" s="230"/>
      <c r="I185" s="224"/>
      <c r="J185" s="272"/>
      <c r="K185" s="851">
        <v>52434.946826086954</v>
      </c>
      <c r="L185" s="852">
        <v>53745.820496739128</v>
      </c>
      <c r="M185" s="409"/>
      <c r="N185" s="781"/>
      <c r="O185" s="779"/>
      <c r="P185" s="779"/>
      <c r="Q185" s="779"/>
      <c r="R185" s="846"/>
      <c r="S185" s="846"/>
      <c r="T185" s="846"/>
    </row>
    <row r="186" spans="1:20" x14ac:dyDescent="0.35">
      <c r="A186" s="269"/>
      <c r="B186" s="858" t="s">
        <v>764</v>
      </c>
      <c r="C186" s="688" t="s">
        <v>232</v>
      </c>
      <c r="D186" s="521"/>
      <c r="E186" s="606"/>
      <c r="F186" s="862">
        <v>43427.165217391303</v>
      </c>
      <c r="G186" s="242"/>
      <c r="H186" s="230"/>
      <c r="I186" s="224"/>
      <c r="J186" s="272"/>
      <c r="K186" s="851">
        <v>45381.387652173908</v>
      </c>
      <c r="L186" s="852">
        <v>46515.922343478254</v>
      </c>
      <c r="M186" s="409"/>
      <c r="N186" s="781"/>
      <c r="O186" s="779"/>
      <c r="P186" s="779"/>
      <c r="Q186" s="779"/>
      <c r="R186" s="846"/>
      <c r="S186" s="846"/>
      <c r="T186" s="846"/>
    </row>
    <row r="187" spans="1:20" x14ac:dyDescent="0.35">
      <c r="A187" s="269"/>
      <c r="B187" s="858" t="s">
        <v>765</v>
      </c>
      <c r="C187" s="688" t="s">
        <v>232</v>
      </c>
      <c r="D187" s="521"/>
      <c r="E187" s="606"/>
      <c r="F187" s="862">
        <v>54283.956521739128</v>
      </c>
      <c r="G187" s="242"/>
      <c r="H187" s="230"/>
      <c r="I187" s="224"/>
      <c r="J187" s="272"/>
      <c r="K187" s="851">
        <v>56726.734565217397</v>
      </c>
      <c r="L187" s="852">
        <v>58144.902929347838</v>
      </c>
      <c r="M187" s="409"/>
      <c r="N187" s="781"/>
      <c r="O187" s="779"/>
      <c r="P187" s="779"/>
      <c r="Q187" s="779"/>
      <c r="R187" s="846"/>
      <c r="S187" s="846"/>
      <c r="T187" s="846"/>
    </row>
    <row r="188" spans="1:20" x14ac:dyDescent="0.35">
      <c r="A188" s="269"/>
      <c r="B188" s="858" t="s">
        <v>766</v>
      </c>
      <c r="C188" s="688" t="s">
        <v>232</v>
      </c>
      <c r="D188" s="521"/>
      <c r="E188" s="606"/>
      <c r="F188" s="862">
        <v>46030.339130434782</v>
      </c>
      <c r="G188" s="242"/>
      <c r="H188" s="230"/>
      <c r="I188" s="224"/>
      <c r="J188" s="272"/>
      <c r="K188" s="851">
        <v>48101.704391304345</v>
      </c>
      <c r="L188" s="852">
        <v>49304.247001086958</v>
      </c>
      <c r="M188" s="409"/>
      <c r="N188" s="781"/>
      <c r="O188" s="779"/>
      <c r="P188" s="779"/>
      <c r="Q188" s="779"/>
      <c r="R188" s="846"/>
      <c r="S188" s="846"/>
      <c r="T188" s="846"/>
    </row>
    <row r="189" spans="1:20" x14ac:dyDescent="0.35">
      <c r="A189" s="269"/>
      <c r="B189" s="858" t="s">
        <v>767</v>
      </c>
      <c r="C189" s="688" t="s">
        <v>232</v>
      </c>
      <c r="D189" s="521"/>
      <c r="E189" s="606"/>
      <c r="F189" s="862">
        <v>57537.921739130434</v>
      </c>
      <c r="G189" s="242"/>
      <c r="H189" s="230"/>
      <c r="I189" s="224"/>
      <c r="J189" s="272"/>
      <c r="K189" s="851">
        <v>60127.128217391313</v>
      </c>
      <c r="L189" s="852">
        <v>61630.306422826092</v>
      </c>
      <c r="M189" s="409"/>
      <c r="N189" s="781"/>
      <c r="O189" s="779"/>
      <c r="P189" s="779"/>
      <c r="Q189" s="779"/>
      <c r="R189" s="846"/>
      <c r="S189" s="846"/>
      <c r="T189" s="846"/>
    </row>
    <row r="190" spans="1:20" x14ac:dyDescent="0.35">
      <c r="A190" s="269"/>
      <c r="B190" s="858" t="s">
        <v>768</v>
      </c>
      <c r="C190" s="688" t="s">
        <v>232</v>
      </c>
      <c r="D190" s="521"/>
      <c r="E190" s="606"/>
      <c r="F190" s="862">
        <v>49660.026086956525</v>
      </c>
      <c r="G190" s="242"/>
      <c r="H190" s="230"/>
      <c r="I190" s="224"/>
      <c r="J190" s="272"/>
      <c r="K190" s="851">
        <v>51894.727260869564</v>
      </c>
      <c r="L190" s="852">
        <v>53192.095442391299</v>
      </c>
      <c r="M190" s="409"/>
      <c r="N190" s="781"/>
      <c r="O190" s="779"/>
      <c r="P190" s="779"/>
      <c r="Q190" s="779"/>
      <c r="R190" s="846"/>
      <c r="S190" s="846"/>
      <c r="T190" s="846"/>
    </row>
    <row r="191" spans="1:20" x14ac:dyDescent="0.35">
      <c r="A191" s="269"/>
      <c r="B191" s="858" t="s">
        <v>769</v>
      </c>
      <c r="C191" s="688" t="s">
        <v>232</v>
      </c>
      <c r="D191" s="521"/>
      <c r="E191" s="606"/>
      <c r="F191" s="862">
        <v>62075.026086956525</v>
      </c>
      <c r="G191" s="242"/>
      <c r="H191" s="230"/>
      <c r="I191" s="224"/>
      <c r="J191" s="272"/>
      <c r="K191" s="851">
        <v>64868.402260869567</v>
      </c>
      <c r="L191" s="852">
        <v>66490.112317391293</v>
      </c>
      <c r="M191" s="409"/>
      <c r="N191" s="781"/>
      <c r="O191" s="779"/>
      <c r="P191" s="779"/>
      <c r="Q191" s="779"/>
      <c r="R191" s="846"/>
      <c r="S191" s="846"/>
      <c r="T191" s="846"/>
    </row>
    <row r="192" spans="1:20" x14ac:dyDescent="0.35">
      <c r="A192" s="269"/>
      <c r="B192" s="858" t="s">
        <v>770</v>
      </c>
      <c r="C192" s="688" t="s">
        <v>232</v>
      </c>
      <c r="D192" s="521"/>
      <c r="E192" s="606"/>
      <c r="F192" s="862">
        <v>52440.034782608695</v>
      </c>
      <c r="G192" s="242"/>
      <c r="H192" s="230"/>
      <c r="I192" s="224"/>
      <c r="J192" s="272"/>
      <c r="K192" s="851">
        <v>54799.836347826094</v>
      </c>
      <c r="L192" s="852">
        <v>56169.832256521746</v>
      </c>
      <c r="M192" s="409"/>
      <c r="N192" s="781"/>
      <c r="O192" s="779"/>
      <c r="P192" s="779"/>
      <c r="Q192" s="779"/>
      <c r="R192" s="846"/>
      <c r="S192" s="846"/>
      <c r="T192" s="846"/>
    </row>
    <row r="193" spans="1:20" x14ac:dyDescent="0.35">
      <c r="A193" s="269"/>
      <c r="B193" s="858" t="s">
        <v>771</v>
      </c>
      <c r="C193" s="688" t="s">
        <v>232</v>
      </c>
      <c r="D193" s="521"/>
      <c r="E193" s="606"/>
      <c r="F193" s="862">
        <v>65550.043478260865</v>
      </c>
      <c r="G193" s="242"/>
      <c r="H193" s="230"/>
      <c r="I193" s="224"/>
      <c r="J193" s="272"/>
      <c r="K193" s="851">
        <v>68499.795434782616</v>
      </c>
      <c r="L193" s="852">
        <v>70212.290320652173</v>
      </c>
      <c r="M193" s="409"/>
      <c r="N193" s="781"/>
      <c r="O193" s="779"/>
      <c r="P193" s="779"/>
      <c r="Q193" s="779"/>
      <c r="R193" s="846"/>
      <c r="S193" s="846"/>
      <c r="T193" s="846"/>
    </row>
    <row r="194" spans="1:20" x14ac:dyDescent="0.35">
      <c r="A194" s="269"/>
      <c r="B194" s="858" t="s">
        <v>772</v>
      </c>
      <c r="C194" s="688" t="s">
        <v>232</v>
      </c>
      <c r="D194" s="521"/>
      <c r="E194" s="606"/>
      <c r="F194" s="862">
        <v>53660.008695652177</v>
      </c>
      <c r="G194" s="242"/>
      <c r="H194" s="230"/>
      <c r="I194" s="224"/>
      <c r="J194" s="272"/>
      <c r="K194" s="851">
        <v>56074.709086956522</v>
      </c>
      <c r="L194" s="852">
        <v>57476.576814130429</v>
      </c>
      <c r="M194" s="409"/>
      <c r="N194" s="781"/>
      <c r="O194" s="779"/>
      <c r="P194" s="779"/>
      <c r="Q194" s="779"/>
      <c r="R194" s="846"/>
      <c r="S194" s="846"/>
      <c r="T194" s="846"/>
    </row>
    <row r="195" spans="1:20" x14ac:dyDescent="0.35">
      <c r="A195" s="269"/>
      <c r="B195" s="858" t="s">
        <v>773</v>
      </c>
      <c r="C195" s="688" t="s">
        <v>232</v>
      </c>
      <c r="D195" s="521"/>
      <c r="E195" s="606"/>
      <c r="F195" s="862">
        <v>67075.017391304355</v>
      </c>
      <c r="G195" s="242"/>
      <c r="H195" s="230"/>
      <c r="I195" s="224"/>
      <c r="J195" s="272"/>
      <c r="K195" s="851">
        <v>70093.393173913049</v>
      </c>
      <c r="L195" s="852">
        <v>71845.728003260869</v>
      </c>
      <c r="M195" s="409"/>
      <c r="N195" s="781"/>
      <c r="O195" s="779"/>
      <c r="P195" s="779"/>
      <c r="Q195" s="779"/>
      <c r="R195" s="846"/>
      <c r="S195" s="846"/>
      <c r="T195" s="846"/>
    </row>
    <row r="196" spans="1:20" x14ac:dyDescent="0.35">
      <c r="A196" s="269"/>
      <c r="B196" s="858" t="s">
        <v>774</v>
      </c>
      <c r="C196" s="688" t="s">
        <v>232</v>
      </c>
      <c r="D196" s="521"/>
      <c r="E196" s="606"/>
      <c r="F196" s="862">
        <v>64659.165217391295</v>
      </c>
      <c r="G196" s="242"/>
      <c r="H196" s="230"/>
      <c r="I196" s="224"/>
      <c r="J196" s="272"/>
      <c r="K196" s="851">
        <v>67568.827652173917</v>
      </c>
      <c r="L196" s="852">
        <v>69258.048343478251</v>
      </c>
      <c r="M196" s="409"/>
      <c r="N196" s="781"/>
      <c r="O196" s="779"/>
      <c r="P196" s="779"/>
      <c r="Q196" s="779"/>
      <c r="R196" s="846"/>
      <c r="S196" s="846"/>
      <c r="T196" s="846"/>
    </row>
    <row r="197" spans="1:20" x14ac:dyDescent="0.35">
      <c r="A197" s="269"/>
      <c r="B197" s="858" t="s">
        <v>775</v>
      </c>
      <c r="C197" s="688" t="s">
        <v>232</v>
      </c>
      <c r="D197" s="521"/>
      <c r="E197" s="606"/>
      <c r="F197" s="862">
        <v>80823.956521739135</v>
      </c>
      <c r="G197" s="242"/>
      <c r="H197" s="230"/>
      <c r="I197" s="224"/>
      <c r="J197" s="272"/>
      <c r="K197" s="851">
        <v>84461.034565217386</v>
      </c>
      <c r="L197" s="852">
        <v>86572.560429347839</v>
      </c>
      <c r="M197" s="409"/>
      <c r="N197" s="781"/>
      <c r="O197" s="779"/>
      <c r="P197" s="779"/>
      <c r="Q197" s="779"/>
      <c r="R197" s="846"/>
      <c r="S197" s="846"/>
      <c r="T197" s="846"/>
    </row>
    <row r="198" spans="1:20" x14ac:dyDescent="0.35">
      <c r="A198" s="269"/>
      <c r="B198" s="858" t="s">
        <v>776</v>
      </c>
      <c r="C198" s="688" t="s">
        <v>232</v>
      </c>
      <c r="D198" s="521"/>
      <c r="E198" s="606"/>
      <c r="F198" s="862">
        <v>78202.086956521744</v>
      </c>
      <c r="G198" s="242"/>
      <c r="H198" s="230"/>
      <c r="I198" s="224"/>
      <c r="J198" s="272"/>
      <c r="K198" s="851">
        <v>81721.180869565214</v>
      </c>
      <c r="L198" s="852">
        <v>83764.210391304339</v>
      </c>
      <c r="M198" s="409"/>
      <c r="N198" s="781"/>
      <c r="O198" s="779"/>
      <c r="P198" s="779"/>
      <c r="Q198" s="779"/>
      <c r="R198" s="846"/>
      <c r="S198" s="846"/>
      <c r="T198" s="846"/>
    </row>
    <row r="199" spans="1:20" x14ac:dyDescent="0.35">
      <c r="A199" s="269"/>
      <c r="B199" s="858" t="s">
        <v>777</v>
      </c>
      <c r="C199" s="688" t="s">
        <v>232</v>
      </c>
      <c r="D199" s="521"/>
      <c r="E199" s="606"/>
      <c r="F199" s="862">
        <v>97752.608695652176</v>
      </c>
      <c r="G199" s="242"/>
      <c r="H199" s="230"/>
      <c r="I199" s="224"/>
      <c r="J199" s="272"/>
      <c r="K199" s="851">
        <v>102151.47608695652</v>
      </c>
      <c r="L199" s="852">
        <v>104705.26298913044</v>
      </c>
      <c r="M199" s="409"/>
      <c r="N199" s="781"/>
      <c r="O199" s="779"/>
      <c r="P199" s="779"/>
      <c r="Q199" s="779"/>
      <c r="R199" s="846"/>
      <c r="S199" s="846"/>
      <c r="T199" s="846"/>
    </row>
    <row r="200" spans="1:20" x14ac:dyDescent="0.35">
      <c r="A200" s="269"/>
      <c r="B200" s="858" t="s">
        <v>778</v>
      </c>
      <c r="C200" s="688" t="s">
        <v>232</v>
      </c>
      <c r="D200" s="521"/>
      <c r="E200" s="606"/>
      <c r="F200" s="862">
        <v>165717.05217391305</v>
      </c>
      <c r="G200" s="242"/>
      <c r="H200" s="230"/>
      <c r="I200" s="224"/>
      <c r="J200" s="272"/>
      <c r="K200" s="851">
        <v>173174.31952173915</v>
      </c>
      <c r="L200" s="852">
        <v>177503.6775097826</v>
      </c>
      <c r="M200" s="409"/>
      <c r="N200" s="781"/>
      <c r="O200" s="779"/>
      <c r="P200" s="779"/>
      <c r="Q200" s="779"/>
      <c r="R200" s="846"/>
      <c r="S200" s="846"/>
      <c r="T200" s="846"/>
    </row>
    <row r="201" spans="1:20" x14ac:dyDescent="0.35">
      <c r="A201" s="269"/>
      <c r="B201" s="858" t="s">
        <v>779</v>
      </c>
      <c r="C201" s="688" t="s">
        <v>232</v>
      </c>
      <c r="D201" s="521"/>
      <c r="E201" s="606"/>
      <c r="F201" s="862">
        <v>207146.32173913042</v>
      </c>
      <c r="G201" s="242"/>
      <c r="H201" s="230"/>
      <c r="I201" s="224"/>
      <c r="J201" s="272"/>
      <c r="K201" s="851">
        <v>216467.90621739131</v>
      </c>
      <c r="L201" s="852">
        <v>221879.60387282609</v>
      </c>
      <c r="M201" s="409"/>
      <c r="N201" s="781"/>
      <c r="O201" s="779"/>
      <c r="P201" s="779"/>
      <c r="Q201" s="779"/>
      <c r="R201" s="846"/>
      <c r="S201" s="846"/>
      <c r="T201" s="846"/>
    </row>
    <row r="202" spans="1:20" x14ac:dyDescent="0.35">
      <c r="A202" s="269"/>
      <c r="B202" s="858" t="s">
        <v>780</v>
      </c>
      <c r="C202" s="688" t="s">
        <v>232</v>
      </c>
      <c r="D202" s="521"/>
      <c r="E202" s="606"/>
      <c r="F202" s="862">
        <v>256892.1652173913</v>
      </c>
      <c r="G202" s="242"/>
      <c r="H202" s="230"/>
      <c r="I202" s="224"/>
      <c r="J202" s="272"/>
      <c r="K202" s="851">
        <v>268452.31265217392</v>
      </c>
      <c r="L202" s="852">
        <v>275163.62046847824</v>
      </c>
      <c r="M202" s="409"/>
      <c r="N202" s="781"/>
      <c r="O202" s="779"/>
      <c r="P202" s="779"/>
      <c r="Q202" s="779"/>
      <c r="R202" s="846"/>
      <c r="S202" s="846"/>
      <c r="T202" s="846"/>
    </row>
    <row r="203" spans="1:20" x14ac:dyDescent="0.35">
      <c r="A203" s="269"/>
      <c r="B203" s="858" t="s">
        <v>781</v>
      </c>
      <c r="C203" s="688" t="s">
        <v>232</v>
      </c>
      <c r="D203" s="521"/>
      <c r="E203" s="606"/>
      <c r="F203" s="862">
        <v>321115.2</v>
      </c>
      <c r="G203" s="242"/>
      <c r="H203" s="230"/>
      <c r="I203" s="224"/>
      <c r="J203" s="272"/>
      <c r="K203" s="851">
        <v>335565.38399999996</v>
      </c>
      <c r="L203" s="852">
        <v>343954.51859999989</v>
      </c>
      <c r="M203" s="409"/>
      <c r="N203" s="781"/>
      <c r="O203" s="779"/>
      <c r="P203" s="779"/>
      <c r="Q203" s="779"/>
      <c r="R203" s="846"/>
      <c r="S203" s="846"/>
      <c r="T203" s="846"/>
    </row>
    <row r="204" spans="1:20" x14ac:dyDescent="0.35">
      <c r="A204" s="269"/>
      <c r="B204" s="216"/>
      <c r="C204" s="254"/>
      <c r="D204" s="542"/>
      <c r="E204" s="626"/>
      <c r="F204" s="868"/>
      <c r="G204" s="228"/>
      <c r="H204" s="229"/>
      <c r="I204" s="562"/>
      <c r="J204" s="271"/>
      <c r="K204" s="851"/>
      <c r="L204" s="852"/>
      <c r="M204" s="417"/>
      <c r="N204" s="781"/>
      <c r="O204" s="44"/>
      <c r="P204" s="216"/>
      <c r="Q204" s="216"/>
    </row>
    <row r="205" spans="1:20" ht="30" customHeight="1" x14ac:dyDescent="0.35">
      <c r="A205" s="276" t="s">
        <v>276</v>
      </c>
      <c r="B205" s="221"/>
      <c r="C205" s="254"/>
      <c r="D205" s="542"/>
      <c r="E205" s="626"/>
      <c r="F205" s="868"/>
      <c r="G205" s="228"/>
      <c r="H205" s="229"/>
      <c r="I205" s="562"/>
      <c r="J205" s="271"/>
      <c r="K205" s="851"/>
      <c r="L205" s="852"/>
      <c r="M205" s="417"/>
      <c r="N205" s="781"/>
      <c r="O205" s="44"/>
      <c r="P205" s="216"/>
      <c r="Q205" s="216"/>
    </row>
    <row r="206" spans="1:20" ht="18" customHeight="1" x14ac:dyDescent="0.35">
      <c r="A206" s="269"/>
      <c r="B206" s="216" t="s">
        <v>265</v>
      </c>
      <c r="C206" s="254"/>
      <c r="D206" s="542"/>
      <c r="E206" s="626">
        <v>2665</v>
      </c>
      <c r="F206" s="868">
        <f>+E206*(1+'Unit tariffs'!$F$2)</f>
        <v>2816.9049999999997</v>
      </c>
      <c r="G206" s="228">
        <f t="shared" ref="G206:G208" si="9">(F206-E206)/E206</f>
        <v>5.6999999999999905E-2</v>
      </c>
      <c r="H206" s="229">
        <f t="shared" ref="H206:H208" si="10">F206*H$3</f>
        <v>422.53574999999995</v>
      </c>
      <c r="I206" s="562">
        <f t="shared" ref="I206:I208" si="11">F206+H206</f>
        <v>3239.4407499999998</v>
      </c>
      <c r="J206" s="271">
        <v>9100033030416</v>
      </c>
      <c r="K206" s="851">
        <f>+$F206*(1+'Unit tariffs'!$F$2)</f>
        <v>2977.4685849999996</v>
      </c>
      <c r="L206" s="852">
        <f>+$K206*(1+'Unit tariffs'!$F$2)</f>
        <v>3147.1842943449992</v>
      </c>
      <c r="M206" s="417">
        <f>+$L206*(1+'Unit tariffs'!$F$2)</f>
        <v>3326.5737991226638</v>
      </c>
      <c r="N206" s="781">
        <f>+$M206*(1+'Unit tariffs'!$F$2)</f>
        <v>3516.1885056726555</v>
      </c>
      <c r="O206" s="44"/>
      <c r="P206" s="216"/>
      <c r="Q206" s="216"/>
    </row>
    <row r="207" spans="1:20" x14ac:dyDescent="0.35">
      <c r="A207" s="269"/>
      <c r="B207" s="216" t="s">
        <v>266</v>
      </c>
      <c r="C207" s="254"/>
      <c r="D207" s="542"/>
      <c r="E207" s="626">
        <v>13005.2</v>
      </c>
      <c r="F207" s="868">
        <f>+E207*(1+'Unit tariffs'!$F$2)</f>
        <v>13746.4964</v>
      </c>
      <c r="G207" s="228">
        <f t="shared" si="9"/>
        <v>5.699999999999994E-2</v>
      </c>
      <c r="H207" s="229">
        <f t="shared" si="10"/>
        <v>2061.9744599999999</v>
      </c>
      <c r="I207" s="562">
        <f t="shared" si="11"/>
        <v>15808.470859999999</v>
      </c>
      <c r="J207" s="271">
        <v>9100033030416</v>
      </c>
      <c r="K207" s="851">
        <f>+$F207*(1+'Unit tariffs'!$F$2)</f>
        <v>14530.046694799999</v>
      </c>
      <c r="L207" s="852">
        <f>+$K207*(1+'Unit tariffs'!$F$2)</f>
        <v>15358.259356403598</v>
      </c>
      <c r="M207" s="417">
        <f>+$L207*(1+'Unit tariffs'!$F$2)</f>
        <v>16233.680139718603</v>
      </c>
      <c r="N207" s="781">
        <f>+$M207*(1+'Unit tariffs'!$F$2)</f>
        <v>17158.999907682562</v>
      </c>
      <c r="O207" s="44"/>
      <c r="P207" s="216"/>
      <c r="Q207" s="216"/>
    </row>
    <row r="208" spans="1:20" x14ac:dyDescent="0.35">
      <c r="A208" s="269"/>
      <c r="B208" s="216" t="s">
        <v>267</v>
      </c>
      <c r="C208" s="254"/>
      <c r="D208" s="542"/>
      <c r="E208" s="626">
        <v>65026</v>
      </c>
      <c r="F208" s="868">
        <f>+E208*(1+'Unit tariffs'!$F$2)</f>
        <v>68732.481999999989</v>
      </c>
      <c r="G208" s="228">
        <f t="shared" si="9"/>
        <v>5.6999999999999829E-2</v>
      </c>
      <c r="H208" s="229">
        <f t="shared" si="10"/>
        <v>10309.872299999997</v>
      </c>
      <c r="I208" s="562">
        <f t="shared" si="11"/>
        <v>79042.354299999992</v>
      </c>
      <c r="J208" s="271">
        <v>9100033030416</v>
      </c>
      <c r="K208" s="851">
        <f>+$F208*(1+'Unit tariffs'!$F$2)</f>
        <v>72650.233473999979</v>
      </c>
      <c r="L208" s="852">
        <f>+$K208*(1+'Unit tariffs'!$F$2)</f>
        <v>76791.296782017977</v>
      </c>
      <c r="M208" s="417">
        <f>+$L208*(1+'Unit tariffs'!$F$2)</f>
        <v>81168.400698593003</v>
      </c>
      <c r="N208" s="781">
        <f>+$M208*(1+'Unit tariffs'!$F$2)</f>
        <v>85794.999538412798</v>
      </c>
      <c r="O208" s="44"/>
      <c r="P208" s="216"/>
      <c r="Q208" s="216"/>
    </row>
    <row r="209" spans="1:17" ht="13.25" customHeight="1" x14ac:dyDescent="0.25">
      <c r="A209" s="893" t="s">
        <v>277</v>
      </c>
      <c r="B209" s="894"/>
      <c r="C209" s="895"/>
      <c r="D209" s="254"/>
      <c r="E209" s="626"/>
      <c r="F209" s="869"/>
      <c r="G209" s="228"/>
      <c r="H209" s="254"/>
      <c r="I209" s="580"/>
      <c r="J209" s="352"/>
      <c r="K209" s="877"/>
      <c r="L209" s="883"/>
      <c r="M209" s="435"/>
      <c r="N209" s="792"/>
      <c r="O209" s="44"/>
      <c r="P209" s="216"/>
      <c r="Q209" s="216"/>
    </row>
    <row r="210" spans="1:17" ht="13.25" customHeight="1" x14ac:dyDescent="0.25">
      <c r="A210" s="896" t="s">
        <v>785</v>
      </c>
      <c r="B210" s="894"/>
      <c r="C210" s="895"/>
      <c r="D210" s="254"/>
      <c r="E210" s="626"/>
      <c r="F210" s="869"/>
      <c r="G210" s="260"/>
      <c r="H210" s="254"/>
      <c r="I210" s="580"/>
      <c r="J210" s="352"/>
      <c r="K210" s="877"/>
      <c r="L210" s="883"/>
      <c r="M210" s="435"/>
      <c r="N210" s="792"/>
      <c r="O210" s="44"/>
      <c r="P210" s="216"/>
      <c r="Q210" s="216"/>
    </row>
    <row r="211" spans="1:17" x14ac:dyDescent="0.35">
      <c r="A211" s="269"/>
      <c r="B211" s="221"/>
      <c r="C211" s="222"/>
      <c r="D211" s="217"/>
      <c r="E211" s="605"/>
      <c r="F211" s="870"/>
      <c r="G211" s="219"/>
      <c r="H211" s="216"/>
      <c r="I211" s="581"/>
      <c r="J211" s="270"/>
      <c r="K211" s="855"/>
      <c r="L211" s="856"/>
      <c r="M211" s="415"/>
      <c r="N211" s="780"/>
      <c r="O211" s="44"/>
      <c r="P211" s="216"/>
      <c r="Q211" s="216"/>
    </row>
    <row r="212" spans="1:17" x14ac:dyDescent="0.35">
      <c r="A212" s="276" t="s">
        <v>106</v>
      </c>
      <c r="B212" s="227"/>
      <c r="C212" s="222"/>
      <c r="D212" s="217"/>
      <c r="E212" s="605"/>
      <c r="F212" s="870"/>
      <c r="G212" s="219"/>
      <c r="H212" s="216"/>
      <c r="I212" s="581"/>
      <c r="J212" s="270"/>
      <c r="K212" s="855"/>
      <c r="L212" s="856"/>
      <c r="M212" s="415"/>
      <c r="N212" s="780"/>
      <c r="O212" s="44"/>
      <c r="P212" s="216"/>
      <c r="Q212" s="216"/>
    </row>
    <row r="213" spans="1:17" x14ac:dyDescent="0.35">
      <c r="A213" s="276" t="s">
        <v>130</v>
      </c>
      <c r="B213" s="227"/>
      <c r="C213" s="222"/>
      <c r="D213" s="217"/>
      <c r="E213" s="605"/>
      <c r="F213" s="870"/>
      <c r="G213" s="223"/>
      <c r="H213" s="216"/>
      <c r="I213" s="581"/>
      <c r="J213" s="270"/>
      <c r="K213" s="855"/>
      <c r="L213" s="856"/>
      <c r="M213" s="415"/>
      <c r="N213" s="780"/>
      <c r="O213" s="44"/>
      <c r="P213" s="216"/>
      <c r="Q213" s="216"/>
    </row>
    <row r="214" spans="1:17" ht="19.5" customHeight="1" x14ac:dyDescent="0.35">
      <c r="A214" s="276" t="s">
        <v>107</v>
      </c>
      <c r="B214" s="227"/>
      <c r="C214" s="222"/>
      <c r="D214" s="217"/>
      <c r="E214" s="605"/>
      <c r="F214" s="870"/>
      <c r="G214" s="219"/>
      <c r="H214" s="216"/>
      <c r="I214" s="581"/>
      <c r="J214" s="270"/>
      <c r="K214" s="855"/>
      <c r="L214" s="856"/>
      <c r="M214" s="415"/>
      <c r="N214" s="780"/>
      <c r="O214" s="44"/>
      <c r="P214" s="216"/>
      <c r="Q214" s="216"/>
    </row>
    <row r="215" spans="1:17" x14ac:dyDescent="0.35">
      <c r="A215" s="269" t="s">
        <v>110</v>
      </c>
      <c r="B215" s="221"/>
      <c r="C215" s="222"/>
      <c r="D215" s="217"/>
      <c r="E215" s="605"/>
      <c r="F215" s="870"/>
      <c r="G215" s="219"/>
      <c r="H215" s="216"/>
      <c r="I215" s="581"/>
      <c r="J215" s="270"/>
      <c r="K215" s="855"/>
      <c r="L215" s="856"/>
      <c r="M215" s="415"/>
      <c r="N215" s="780"/>
      <c r="O215" s="44"/>
      <c r="P215" s="216"/>
      <c r="Q215" s="216"/>
    </row>
    <row r="216" spans="1:17" x14ac:dyDescent="0.35">
      <c r="A216" s="269"/>
      <c r="B216" s="221"/>
      <c r="C216" s="222"/>
      <c r="D216" s="217"/>
      <c r="E216" s="605"/>
      <c r="F216" s="870"/>
      <c r="G216" s="219"/>
      <c r="H216" s="216"/>
      <c r="I216" s="581"/>
      <c r="J216" s="270"/>
      <c r="K216" s="855"/>
      <c r="L216" s="856"/>
      <c r="M216" s="415"/>
      <c r="N216" s="780"/>
      <c r="O216" s="44"/>
      <c r="P216" s="216"/>
      <c r="Q216" s="216"/>
    </row>
    <row r="217" spans="1:17" x14ac:dyDescent="0.35">
      <c r="A217" s="276" t="s">
        <v>273</v>
      </c>
      <c r="B217" s="221"/>
      <c r="C217" s="222"/>
      <c r="D217" s="217"/>
      <c r="E217" s="605"/>
      <c r="F217" s="870"/>
      <c r="G217" s="219"/>
      <c r="H217" s="216"/>
      <c r="I217" s="581"/>
      <c r="J217" s="270"/>
      <c r="K217" s="855"/>
      <c r="L217" s="856"/>
      <c r="M217" s="415"/>
      <c r="N217" s="780"/>
      <c r="O217" s="44"/>
      <c r="P217" s="216"/>
      <c r="Q217" s="216"/>
    </row>
    <row r="218" spans="1:17" x14ac:dyDescent="0.35">
      <c r="A218" s="276" t="s">
        <v>271</v>
      </c>
      <c r="B218" s="221"/>
      <c r="C218" s="222"/>
      <c r="D218" s="217"/>
      <c r="E218" s="605"/>
      <c r="F218" s="870"/>
      <c r="G218" s="219"/>
      <c r="H218" s="216"/>
      <c r="I218" s="581"/>
      <c r="J218" s="270"/>
      <c r="K218" s="855"/>
      <c r="L218" s="856"/>
      <c r="M218" s="415"/>
      <c r="N218" s="780"/>
      <c r="O218" s="44"/>
      <c r="P218" s="216"/>
      <c r="Q218" s="216"/>
    </row>
    <row r="219" spans="1:17" ht="15" thickBot="1" x14ac:dyDescent="0.4">
      <c r="A219" s="277" t="s">
        <v>272</v>
      </c>
      <c r="B219" s="278"/>
      <c r="C219" s="279"/>
      <c r="D219" s="280"/>
      <c r="E219" s="608"/>
      <c r="F219" s="871"/>
      <c r="G219" s="282"/>
      <c r="H219" s="283"/>
      <c r="I219" s="582"/>
      <c r="J219" s="285"/>
      <c r="K219" s="878"/>
      <c r="L219" s="884"/>
      <c r="M219" s="421"/>
      <c r="N219" s="787"/>
      <c r="O219" s="44"/>
      <c r="P219" s="216"/>
      <c r="Q219" s="216"/>
    </row>
    <row r="220" spans="1:17" x14ac:dyDescent="0.35">
      <c r="F220" s="872"/>
      <c r="I220" s="583"/>
    </row>
    <row r="221" spans="1:17" x14ac:dyDescent="0.35">
      <c r="F221" s="872"/>
      <c r="I221" s="583"/>
    </row>
    <row r="222" spans="1:17" x14ac:dyDescent="0.35">
      <c r="F222" s="872"/>
      <c r="I222" s="583"/>
    </row>
    <row r="223" spans="1:17" x14ac:dyDescent="0.35">
      <c r="I223" s="583"/>
    </row>
    <row r="224" spans="1:17" x14ac:dyDescent="0.35">
      <c r="I224" s="583"/>
    </row>
  </sheetData>
  <mergeCells count="8">
    <mergeCell ref="A209:C209"/>
    <mergeCell ref="A210:C210"/>
    <mergeCell ref="O2:Q5"/>
    <mergeCell ref="B149:C149"/>
    <mergeCell ref="B150:C150"/>
    <mergeCell ref="B151:C151"/>
    <mergeCell ref="B152:C152"/>
    <mergeCell ref="B153:C153"/>
  </mergeCells>
  <pageMargins left="0.25" right="0.25" top="0.75" bottom="0.75" header="0.3" footer="0.3"/>
  <pageSetup paperSize="8" scale="96" fitToHeight="0" orientation="landscape" r:id="rId1"/>
  <headerFooter>
    <oddHeader>&amp;C&amp;"Arial,Bold"&amp;12Approved Electrical Service Tariffs for CENTLEC (SOC) Ltd for the 2023/2024 financial year</oddHeader>
    <oddFooter>&amp;C&amp;F&amp;R&amp;"Arial,Bold"&amp;12Page &amp;P</oddFooter>
  </headerFooter>
  <rowBreaks count="4" manualBreakCount="4">
    <brk id="92" max="13" man="1"/>
    <brk id="129" max="13" man="1"/>
    <brk id="161" max="13" man="1"/>
    <brk id="204" max="1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D8732-ECCB-4B5A-9004-21F846BCC4D6}">
  <sheetPr>
    <tabColor theme="2" tint="-0.499984740745262"/>
    <pageSetUpPr fitToPage="1"/>
  </sheetPr>
  <dimension ref="A1:Q175"/>
  <sheetViews>
    <sheetView view="pageBreakPreview" zoomScale="62" zoomScaleNormal="75" zoomScaleSheetLayoutView="62" zoomScalePageLayoutView="75" workbookViewId="0">
      <selection activeCell="H3" sqref="H3"/>
    </sheetView>
  </sheetViews>
  <sheetFormatPr defaultColWidth="8.90625" defaultRowHeight="14.5" x14ac:dyDescent="0.35"/>
  <cols>
    <col min="1" max="1" width="1.6328125" style="2" customWidth="1"/>
    <col min="2" max="2" width="80.36328125" style="195" customWidth="1"/>
    <col min="3" max="3" width="22.08984375" style="197" bestFit="1" customWidth="1"/>
    <col min="4" max="4" width="21.36328125" style="199" hidden="1" customWidth="1"/>
    <col min="5" max="5" width="24.36328125" style="774" customWidth="1"/>
    <col min="6" max="6" width="26.6328125" style="200" customWidth="1"/>
    <col min="7" max="7" width="13" style="196" customWidth="1"/>
    <col min="8" max="8" width="11.90625" style="2" customWidth="1"/>
    <col min="9" max="9" width="15.54296875" style="584" bestFit="1" customWidth="1"/>
    <col min="10" max="10" width="20.54296875" style="2" customWidth="1"/>
    <col min="11" max="11" width="14.54296875" style="393" customWidth="1"/>
    <col min="12" max="14" width="15.453125" style="393" customWidth="1"/>
    <col min="15" max="15" width="12.08984375" hidden="1" customWidth="1"/>
    <col min="16" max="16" width="9.1796875" style="2" hidden="1" customWidth="1"/>
    <col min="17" max="17" width="11.81640625" style="2" hidden="1" customWidth="1"/>
    <col min="18" max="16384" width="8.90625" style="2"/>
  </cols>
  <sheetData>
    <row r="1" spans="1:17" ht="15.5" x14ac:dyDescent="0.35">
      <c r="A1" s="261"/>
      <c r="B1" s="262" t="s">
        <v>450</v>
      </c>
      <c r="C1" s="263"/>
      <c r="D1" s="515"/>
      <c r="E1" s="601"/>
      <c r="F1" s="267"/>
      <c r="G1" s="265"/>
      <c r="H1" s="266"/>
      <c r="I1" s="559"/>
      <c r="J1" s="268"/>
      <c r="K1" s="406"/>
      <c r="L1" s="407"/>
      <c r="M1" s="407"/>
      <c r="N1" s="407"/>
    </row>
    <row r="2" spans="1:17" ht="14.4" customHeight="1" x14ac:dyDescent="0.35">
      <c r="A2" s="269"/>
      <c r="B2" s="221" t="s">
        <v>1</v>
      </c>
      <c r="C2" s="222"/>
      <c r="D2" s="516" t="s">
        <v>317</v>
      </c>
      <c r="E2" s="602" t="s">
        <v>317</v>
      </c>
      <c r="F2" s="224" t="s">
        <v>74</v>
      </c>
      <c r="G2" s="327" t="s">
        <v>85</v>
      </c>
      <c r="H2" s="52" t="s">
        <v>441</v>
      </c>
      <c r="I2" s="224" t="s">
        <v>138</v>
      </c>
      <c r="J2" s="325" t="s">
        <v>75</v>
      </c>
      <c r="K2" s="666" t="s">
        <v>138</v>
      </c>
      <c r="L2" s="667" t="s">
        <v>138</v>
      </c>
      <c r="M2" s="667" t="s">
        <v>138</v>
      </c>
      <c r="N2" s="775" t="s">
        <v>138</v>
      </c>
      <c r="O2" s="897" t="s">
        <v>622</v>
      </c>
      <c r="P2" s="897"/>
      <c r="Q2" s="897"/>
    </row>
    <row r="3" spans="1:17" x14ac:dyDescent="0.35">
      <c r="A3" s="269"/>
      <c r="B3" s="307" t="s">
        <v>330</v>
      </c>
      <c r="C3" s="226"/>
      <c r="D3" s="516" t="s">
        <v>318</v>
      </c>
      <c r="E3" s="602" t="s">
        <v>318</v>
      </c>
      <c r="F3" s="224" t="s">
        <v>318</v>
      </c>
      <c r="G3" s="327" t="s">
        <v>86</v>
      </c>
      <c r="H3" s="643">
        <f>+'Unit tariffs'!F$3</f>
        <v>0.15</v>
      </c>
      <c r="I3" s="224" t="s">
        <v>139</v>
      </c>
      <c r="J3" s="325" t="s">
        <v>78</v>
      </c>
      <c r="K3" s="666" t="s">
        <v>139</v>
      </c>
      <c r="L3" s="667" t="s">
        <v>139</v>
      </c>
      <c r="M3" s="667" t="s">
        <v>139</v>
      </c>
      <c r="N3" s="775" t="s">
        <v>139</v>
      </c>
      <c r="O3" s="897"/>
      <c r="P3" s="897"/>
      <c r="Q3" s="897"/>
    </row>
    <row r="4" spans="1:17" x14ac:dyDescent="0.35">
      <c r="A4" s="269"/>
      <c r="B4" s="221" t="s">
        <v>1</v>
      </c>
      <c r="C4" s="226" t="s">
        <v>328</v>
      </c>
      <c r="D4" s="516" t="str">
        <f>'Calc Sheet 23_24'!H11</f>
        <v>2025/2026</v>
      </c>
      <c r="E4" s="665" t="str">
        <f>'Calc Sheet 23_24'!$H$11</f>
        <v>2025/2026</v>
      </c>
      <c r="F4" s="224" t="str">
        <f>'Calc Sheet 23_24'!$I$11</f>
        <v>2026/2027</v>
      </c>
      <c r="G4" s="327" t="str">
        <f>F4</f>
        <v>2026/2027</v>
      </c>
      <c r="H4" s="52" t="str">
        <f>F4</f>
        <v>2026/2027</v>
      </c>
      <c r="I4" s="224" t="str">
        <f>H4</f>
        <v>2026/2027</v>
      </c>
      <c r="J4" s="325" t="s">
        <v>79</v>
      </c>
      <c r="K4" s="666" t="s">
        <v>734</v>
      </c>
      <c r="L4" s="667" t="s">
        <v>735</v>
      </c>
      <c r="M4" s="667" t="s">
        <v>737</v>
      </c>
      <c r="N4" s="775" t="s">
        <v>738</v>
      </c>
      <c r="O4" s="897"/>
      <c r="P4" s="897"/>
      <c r="Q4" s="897"/>
    </row>
    <row r="5" spans="1:17" ht="15" thickBot="1" x14ac:dyDescent="0.4">
      <c r="A5" s="293"/>
      <c r="B5" s="309" t="s">
        <v>1</v>
      </c>
      <c r="C5" s="295" t="s">
        <v>329</v>
      </c>
      <c r="D5" s="517" t="s">
        <v>80</v>
      </c>
      <c r="E5" s="603" t="s">
        <v>711</v>
      </c>
      <c r="F5" s="334" t="s">
        <v>80</v>
      </c>
      <c r="G5" s="332"/>
      <c r="H5" s="333"/>
      <c r="I5" s="334"/>
      <c r="J5" s="335"/>
      <c r="K5" s="410"/>
      <c r="L5" s="411"/>
      <c r="M5" s="411"/>
      <c r="N5" s="776"/>
      <c r="O5" s="897"/>
      <c r="P5" s="897"/>
      <c r="Q5" s="897"/>
    </row>
    <row r="6" spans="1:17" ht="15" thickTop="1" x14ac:dyDescent="0.35">
      <c r="A6" s="286"/>
      <c r="B6" s="315"/>
      <c r="C6" s="329"/>
      <c r="D6" s="518"/>
      <c r="E6" s="604"/>
      <c r="F6" s="292"/>
      <c r="G6" s="290"/>
      <c r="H6" s="291"/>
      <c r="I6" s="560"/>
      <c r="J6" s="310"/>
      <c r="K6" s="412"/>
      <c r="L6" s="413"/>
      <c r="M6" s="413"/>
      <c r="N6" s="777"/>
      <c r="O6" s="779" t="s">
        <v>630</v>
      </c>
      <c r="P6" s="779" t="s">
        <v>631</v>
      </c>
      <c r="Q6" s="779" t="s">
        <v>632</v>
      </c>
    </row>
    <row r="7" spans="1:17" ht="24" customHeight="1" x14ac:dyDescent="0.35">
      <c r="A7" s="269"/>
      <c r="B7" s="226" t="s">
        <v>104</v>
      </c>
      <c r="C7" s="226"/>
      <c r="D7" s="519"/>
      <c r="E7" s="605"/>
      <c r="F7" s="220"/>
      <c r="G7" s="219"/>
      <c r="H7" s="216"/>
      <c r="I7" s="561"/>
      <c r="J7" s="270"/>
      <c r="K7" s="414"/>
      <c r="L7" s="415"/>
      <c r="M7" s="415"/>
      <c r="N7" s="780"/>
      <c r="O7" s="44"/>
      <c r="P7" s="216"/>
      <c r="Q7" s="216"/>
    </row>
    <row r="8" spans="1:17" x14ac:dyDescent="0.35">
      <c r="A8" s="269"/>
      <c r="B8" s="227" t="str">
        <f>'New Conn'!B5</f>
        <v xml:space="preserve">1. NEW CONNECTIONS: </v>
      </c>
      <c r="C8" s="226"/>
      <c r="D8" s="520"/>
      <c r="E8" s="605"/>
      <c r="F8" s="220"/>
      <c r="G8" s="219"/>
      <c r="H8" s="216"/>
      <c r="I8" s="561"/>
      <c r="J8" s="270"/>
      <c r="K8" s="414"/>
      <c r="L8" s="415"/>
      <c r="M8" s="415"/>
      <c r="N8" s="780"/>
      <c r="O8" s="44"/>
      <c r="P8" s="216"/>
      <c r="Q8" s="216"/>
    </row>
    <row r="9" spans="1:17" x14ac:dyDescent="0.35">
      <c r="A9" s="269"/>
      <c r="B9" s="227"/>
      <c r="C9" s="226"/>
      <c r="D9" s="520"/>
      <c r="E9" s="605"/>
      <c r="F9" s="220"/>
      <c r="G9" s="219"/>
      <c r="H9" s="216"/>
      <c r="I9" s="561"/>
      <c r="J9" s="270"/>
      <c r="K9" s="414"/>
      <c r="L9" s="415"/>
      <c r="M9" s="415"/>
      <c r="N9" s="780"/>
      <c r="O9" s="44"/>
      <c r="P9" s="216"/>
      <c r="Q9" s="216"/>
    </row>
    <row r="10" spans="1:17" ht="26" x14ac:dyDescent="0.35">
      <c r="A10" s="269"/>
      <c r="B10" s="221" t="str">
        <f>'New Conn'!B7</f>
        <v xml:space="preserve">1.1  Single phase overhead connection with Split Pre-payment meter taken from overhead network   - No Ready board   </v>
      </c>
      <c r="C10" s="222" t="s">
        <v>240</v>
      </c>
      <c r="D10" s="521">
        <f>'New Conn'!H39</f>
        <v>7370</v>
      </c>
      <c r="E10" s="606">
        <f>D10*1.15</f>
        <v>8475.5</v>
      </c>
      <c r="F10" s="379">
        <f>'New Conn'!I39</f>
        <v>7330</v>
      </c>
      <c r="G10" s="228">
        <f>(F10-E10)/E10</f>
        <v>-0.13515426818476786</v>
      </c>
      <c r="H10" s="229">
        <f>F10*H$3</f>
        <v>1099.5</v>
      </c>
      <c r="I10" s="562">
        <f>F10+H10</f>
        <v>8429.5</v>
      </c>
      <c r="J10" s="271">
        <v>9100033030416</v>
      </c>
      <c r="K10" s="416">
        <f>+$I10*(1+'Unit tariffs'!$F$2)</f>
        <v>8909.9814999999999</v>
      </c>
      <c r="L10" s="417">
        <f>+$K10*(1+'Unit tariffs'!$F$2)</f>
        <v>9417.8504455000002</v>
      </c>
      <c r="M10" s="417">
        <f>+$L10*(1+'Unit tariffs'!$F$2)</f>
        <v>9954.6679208935002</v>
      </c>
      <c r="N10" s="781">
        <f>+$M10*(1+'Unit tariffs'!$F$2)</f>
        <v>10522.083992384429</v>
      </c>
      <c r="O10" s="779" t="s">
        <v>633</v>
      </c>
      <c r="P10" s="779" t="s">
        <v>633</v>
      </c>
      <c r="Q10" s="779" t="s">
        <v>633</v>
      </c>
    </row>
    <row r="11" spans="1:17" x14ac:dyDescent="0.35">
      <c r="A11" s="269"/>
      <c r="B11" s="221"/>
      <c r="C11" s="222"/>
      <c r="D11" s="521"/>
      <c r="E11" s="606"/>
      <c r="F11" s="379"/>
      <c r="G11" s="228"/>
      <c r="H11" s="228"/>
      <c r="I11" s="563"/>
      <c r="J11" s="272"/>
      <c r="K11" s="418"/>
      <c r="L11" s="419"/>
      <c r="M11" s="419"/>
      <c r="N11" s="782"/>
      <c r="O11" s="778"/>
      <c r="P11" s="778"/>
      <c r="Q11" s="778"/>
    </row>
    <row r="12" spans="1:17" ht="26" x14ac:dyDescent="0.35">
      <c r="A12" s="269"/>
      <c r="B12" s="221" t="str">
        <f>'New Conn'!B45</f>
        <v xml:space="preserve">1.2  Single phase overhead connection with Split Pre-payment meter taken from overhead network   - With Ready board   </v>
      </c>
      <c r="C12" s="222" t="s">
        <v>240</v>
      </c>
      <c r="D12" s="521">
        <f>'New Conn'!H79</f>
        <v>8770</v>
      </c>
      <c r="E12" s="606">
        <f t="shared" ref="E12:E75" si="0">D12*1.15</f>
        <v>10085.5</v>
      </c>
      <c r="F12" s="379">
        <f>'New Conn'!I79</f>
        <v>8710</v>
      </c>
      <c r="G12" s="228">
        <f>(F12-E12)/E12</f>
        <v>-0.13638391750532944</v>
      </c>
      <c r="H12" s="229">
        <f>F12*H$3</f>
        <v>1306.5</v>
      </c>
      <c r="I12" s="562">
        <f>F12+H12</f>
        <v>10016.5</v>
      </c>
      <c r="J12" s="271">
        <v>9100033030416</v>
      </c>
      <c r="K12" s="416">
        <f>+$I12*(1+'Unit tariffs'!$F$2)</f>
        <v>10587.440499999999</v>
      </c>
      <c r="L12" s="417">
        <f>+$K12*(1+'Unit tariffs'!$F$2)</f>
        <v>11190.924608499998</v>
      </c>
      <c r="M12" s="417">
        <f>+$L12*(1+'Unit tariffs'!$F$2)</f>
        <v>11828.807311184497</v>
      </c>
      <c r="N12" s="781">
        <f>+$M12*(1+'Unit tariffs'!$F$2)</f>
        <v>12503.049327922012</v>
      </c>
      <c r="O12" s="779" t="s">
        <v>633</v>
      </c>
      <c r="P12" s="779" t="s">
        <v>633</v>
      </c>
      <c r="Q12" s="779" t="s">
        <v>633</v>
      </c>
    </row>
    <row r="13" spans="1:17" x14ac:dyDescent="0.35">
      <c r="A13" s="269"/>
      <c r="B13" s="231"/>
      <c r="C13" s="232"/>
      <c r="D13" s="521"/>
      <c r="E13" s="606"/>
      <c r="F13" s="379"/>
      <c r="G13" s="228"/>
      <c r="H13" s="228"/>
      <c r="I13" s="563"/>
      <c r="J13" s="272"/>
      <c r="K13" s="418"/>
      <c r="L13" s="419"/>
      <c r="M13" s="419"/>
      <c r="N13" s="782"/>
      <c r="O13" s="778"/>
      <c r="P13" s="778"/>
      <c r="Q13" s="778"/>
    </row>
    <row r="14" spans="1:17" ht="26.5" customHeight="1" x14ac:dyDescent="0.35">
      <c r="A14" s="269"/>
      <c r="B14" s="221" t="str">
        <f>'New Conn'!B85</f>
        <v xml:space="preserve">1.3  Single phase underground/ovehead connection with Split Pre-payment meter taken from underground/overhead network (Flisp Housing)  - With Ready board   </v>
      </c>
      <c r="C14" s="677" t="s">
        <v>295</v>
      </c>
      <c r="D14" s="521">
        <f>'New Conn'!H116</f>
        <v>13760</v>
      </c>
      <c r="E14" s="606">
        <f t="shared" si="0"/>
        <v>15823.999999999998</v>
      </c>
      <c r="F14" s="379">
        <f>'New Conn'!I116</f>
        <v>13670</v>
      </c>
      <c r="G14" s="228">
        <f>(F14-E14)/E14</f>
        <v>-0.13612234580384217</v>
      </c>
      <c r="H14" s="229">
        <f>F14*H$3</f>
        <v>2050.5</v>
      </c>
      <c r="I14" s="562">
        <f>F14+H14</f>
        <v>15720.5</v>
      </c>
      <c r="J14" s="271">
        <v>9100033030416</v>
      </c>
      <c r="K14" s="416">
        <f>+$I14*(1+'Unit tariffs'!$F$2)</f>
        <v>16616.568499999998</v>
      </c>
      <c r="L14" s="417">
        <f>+$K14*(1+'Unit tariffs'!$F$2)</f>
        <v>17563.712904499997</v>
      </c>
      <c r="M14" s="417">
        <f>+$L14*(1+'Unit tariffs'!$F$2)</f>
        <v>18564.844540056496</v>
      </c>
      <c r="N14" s="781">
        <f>+$M14*(1+'Unit tariffs'!$F$2)</f>
        <v>19623.040678839716</v>
      </c>
      <c r="O14" s="779" t="s">
        <v>633</v>
      </c>
      <c r="P14" s="779" t="s">
        <v>633</v>
      </c>
      <c r="Q14" s="779" t="s">
        <v>633</v>
      </c>
    </row>
    <row r="15" spans="1:17" x14ac:dyDescent="0.35">
      <c r="A15" s="269"/>
      <c r="B15" s="231"/>
      <c r="C15" s="232"/>
      <c r="D15" s="521"/>
      <c r="E15" s="606"/>
      <c r="F15" s="379"/>
      <c r="G15" s="228"/>
      <c r="H15" s="228"/>
      <c r="I15" s="563"/>
      <c r="J15" s="272"/>
      <c r="K15" s="418"/>
      <c r="L15" s="419"/>
      <c r="M15" s="419"/>
      <c r="N15" s="782"/>
      <c r="O15" s="778"/>
      <c r="P15" s="778"/>
      <c r="Q15" s="778"/>
    </row>
    <row r="16" spans="1:17" ht="28.25" customHeight="1" x14ac:dyDescent="0.35">
      <c r="A16" s="269"/>
      <c r="B16" s="221" t="str">
        <f>'New Conn'!B120</f>
        <v>1.4  New connection (Permanent) for Church/ Creche with NPO certificate &amp; Proof of Title deeds paper registered with Church/Creche:  Single phase Split Prepaid  meter</v>
      </c>
      <c r="C16" s="222" t="s">
        <v>240</v>
      </c>
      <c r="D16" s="521">
        <f>'New Conn'!H150</f>
        <v>15240</v>
      </c>
      <c r="E16" s="606">
        <f t="shared" si="0"/>
        <v>17526</v>
      </c>
      <c r="F16" s="379">
        <f>'New Conn'!I150</f>
        <v>15140</v>
      </c>
      <c r="G16" s="228">
        <f>(F16-E16)/E16</f>
        <v>-0.13614059112176197</v>
      </c>
      <c r="H16" s="229">
        <f>F16*H$3</f>
        <v>2271</v>
      </c>
      <c r="I16" s="562">
        <f>F16+H16</f>
        <v>17411</v>
      </c>
      <c r="J16" s="271">
        <v>9100033030416</v>
      </c>
      <c r="K16" s="416">
        <f>+$I16*(1+'Unit tariffs'!$F$2)</f>
        <v>18403.427</v>
      </c>
      <c r="L16" s="417">
        <f>+$K16*(1+'Unit tariffs'!$F$2)</f>
        <v>19452.422338999997</v>
      </c>
      <c r="M16" s="417">
        <f>+$L16*(1+'Unit tariffs'!$F$2)</f>
        <v>20561.210412322995</v>
      </c>
      <c r="N16" s="781">
        <f>+$M16*(1+'Unit tariffs'!$F$2)</f>
        <v>21733.199405825406</v>
      </c>
      <c r="O16" s="779" t="s">
        <v>633</v>
      </c>
      <c r="P16" s="779" t="s">
        <v>633</v>
      </c>
      <c r="Q16" s="779" t="s">
        <v>633</v>
      </c>
    </row>
    <row r="17" spans="1:17" ht="19.5" customHeight="1" x14ac:dyDescent="0.35">
      <c r="A17" s="269"/>
      <c r="B17" s="221"/>
      <c r="C17" s="222"/>
      <c r="D17" s="521"/>
      <c r="E17" s="606"/>
      <c r="F17" s="379"/>
      <c r="G17" s="228"/>
      <c r="H17" s="229"/>
      <c r="I17" s="562"/>
      <c r="J17" s="271"/>
      <c r="K17" s="416"/>
      <c r="L17" s="417"/>
      <c r="M17" s="417"/>
      <c r="N17" s="781"/>
      <c r="O17" s="778"/>
      <c r="P17" s="778"/>
      <c r="Q17" s="778"/>
    </row>
    <row r="18" spans="1:17" ht="26" x14ac:dyDescent="0.35">
      <c r="A18" s="269"/>
      <c r="B18" s="233" t="str">
        <f>'New Conn'!B155</f>
        <v>1.5  Single phase domestic connection in meter box placed on stand boundary taken from underground cable network (Connection to an erf, where the development costs has been paid) -</v>
      </c>
      <c r="C18" s="222" t="s">
        <v>240</v>
      </c>
      <c r="D18" s="520"/>
      <c r="E18" s="606"/>
      <c r="F18" s="379"/>
      <c r="G18" s="228"/>
      <c r="H18" s="229"/>
      <c r="I18" s="562"/>
      <c r="J18" s="271"/>
      <c r="K18" s="416"/>
      <c r="L18" s="417"/>
      <c r="M18" s="417"/>
      <c r="N18" s="781"/>
      <c r="O18" s="778"/>
      <c r="P18" s="778"/>
      <c r="Q18" s="778"/>
    </row>
    <row r="19" spans="1:17" ht="32.4" customHeight="1" x14ac:dyDescent="0.35">
      <c r="A19" s="269"/>
      <c r="B19" s="233" t="str">
        <f>+'Calc Sheet 23_24'!B157:G157</f>
        <v xml:space="preserve">    1.5.1 Connection in meter box, Single Phase Time of Use kWh meter</v>
      </c>
      <c r="C19" s="222" t="s">
        <v>240</v>
      </c>
      <c r="D19" s="521">
        <f>'New Conn'!H185</f>
        <v>8560</v>
      </c>
      <c r="E19" s="606">
        <f t="shared" si="0"/>
        <v>9844</v>
      </c>
      <c r="F19" s="379">
        <f>'New Conn'!I185</f>
        <v>8510</v>
      </c>
      <c r="G19" s="228">
        <f>(F19-E19)/E19</f>
        <v>-0.13551401869158877</v>
      </c>
      <c r="H19" s="229">
        <f>F19*H$3</f>
        <v>1276.5</v>
      </c>
      <c r="I19" s="562">
        <f>F19+H19</f>
        <v>9786.5</v>
      </c>
      <c r="J19" s="271">
        <v>9100033030416</v>
      </c>
      <c r="K19" s="416">
        <f>+$I19*(1+'Unit tariffs'!$F$2)</f>
        <v>10344.3305</v>
      </c>
      <c r="L19" s="417">
        <f>+$K19*(1+'Unit tariffs'!$F$2)</f>
        <v>10933.957338499999</v>
      </c>
      <c r="M19" s="417">
        <f>+$L19*(1+'Unit tariffs'!$F$2)</f>
        <v>11557.192906794498</v>
      </c>
      <c r="N19" s="781">
        <f>+$M19*(1+'Unit tariffs'!$F$2)</f>
        <v>12215.952902481784</v>
      </c>
      <c r="O19" s="779" t="s">
        <v>633</v>
      </c>
      <c r="P19" s="779" t="s">
        <v>633</v>
      </c>
      <c r="Q19" s="779" t="s">
        <v>633</v>
      </c>
    </row>
    <row r="20" spans="1:17" ht="32.4" customHeight="1" x14ac:dyDescent="0.35">
      <c r="A20" s="269"/>
      <c r="B20" s="233" t="str">
        <f>'New Conn'!B190</f>
        <v xml:space="preserve">    1.5.2 Connection in meter box, Single phase Split pre-payment meter</v>
      </c>
      <c r="C20" s="222" t="s">
        <v>240</v>
      </c>
      <c r="D20" s="521">
        <f>'New Conn'!H215</f>
        <v>4950</v>
      </c>
      <c r="E20" s="606">
        <f t="shared" si="0"/>
        <v>5692.5</v>
      </c>
      <c r="F20" s="379">
        <f>'New Conn'!I215</f>
        <v>4930</v>
      </c>
      <c r="G20" s="228">
        <f>(F20-E20)/E20</f>
        <v>-0.1339481774264383</v>
      </c>
      <c r="H20" s="229">
        <f>F20*H$3</f>
        <v>739.5</v>
      </c>
      <c r="I20" s="562">
        <f>F20+H20</f>
        <v>5669.5</v>
      </c>
      <c r="J20" s="271">
        <v>9100033030416</v>
      </c>
      <c r="K20" s="416">
        <f>+$I20*(1+'Unit tariffs'!$F$2)</f>
        <v>5992.6614999999993</v>
      </c>
      <c r="L20" s="417">
        <f>+$K20*(1+'Unit tariffs'!$F$2)</f>
        <v>6334.243205499999</v>
      </c>
      <c r="M20" s="417">
        <f>+$L20*(1+'Unit tariffs'!$F$2)</f>
        <v>6695.2950682134988</v>
      </c>
      <c r="N20" s="781">
        <f>+$M20*(1+'Unit tariffs'!$F$2)</f>
        <v>7076.9268871016675</v>
      </c>
      <c r="O20" s="779" t="s">
        <v>633</v>
      </c>
      <c r="P20" s="779" t="s">
        <v>633</v>
      </c>
      <c r="Q20" s="779" t="s">
        <v>633</v>
      </c>
    </row>
    <row r="21" spans="1:17" ht="31.5" customHeight="1" x14ac:dyDescent="0.35">
      <c r="A21" s="269"/>
      <c r="B21" s="221" t="str">
        <f>'New Conn'!B221</f>
        <v>1.6 Single phase Pre-payment meters for areas that are fully subsidised. (Grants from different departments, e.g USDG, etc)</v>
      </c>
      <c r="C21" s="514" t="s">
        <v>240</v>
      </c>
      <c r="D21" s="521">
        <f>'New Conn'!H247</f>
        <v>1010</v>
      </c>
      <c r="E21" s="606">
        <f t="shared" si="0"/>
        <v>1161.5</v>
      </c>
      <c r="F21" s="379">
        <f>'New Conn'!I247</f>
        <v>1000</v>
      </c>
      <c r="G21" s="228">
        <f>(F21-E21)/E21</f>
        <v>-0.13904433921653034</v>
      </c>
      <c r="H21" s="229">
        <f>F21*H$3</f>
        <v>150</v>
      </c>
      <c r="I21" s="562">
        <f>F21+H21</f>
        <v>1150</v>
      </c>
      <c r="J21" s="271">
        <v>9100033030416</v>
      </c>
      <c r="K21" s="416">
        <f>+$I21*(1+'Unit tariffs'!$F$2)</f>
        <v>1215.55</v>
      </c>
      <c r="L21" s="417">
        <f>+$K21*(1+'Unit tariffs'!$F$2)</f>
        <v>1284.8363499999998</v>
      </c>
      <c r="M21" s="417">
        <f>+$L21*(1+'Unit tariffs'!$F$2)</f>
        <v>1358.0720219499997</v>
      </c>
      <c r="N21" s="781">
        <f>+$M21*(1+'Unit tariffs'!$F$2)</f>
        <v>1435.4821272011495</v>
      </c>
      <c r="O21" s="779" t="s">
        <v>633</v>
      </c>
      <c r="P21" s="779" t="s">
        <v>633</v>
      </c>
      <c r="Q21" s="779" t="s">
        <v>633</v>
      </c>
    </row>
    <row r="22" spans="1:17" x14ac:dyDescent="0.35">
      <c r="A22" s="269"/>
      <c r="B22" s="234"/>
      <c r="C22" s="222"/>
      <c r="D22" s="522"/>
      <c r="E22" s="606"/>
      <c r="F22" s="379"/>
      <c r="G22" s="228"/>
      <c r="H22" s="229"/>
      <c r="I22" s="562"/>
      <c r="J22" s="271"/>
      <c r="K22" s="416"/>
      <c r="L22" s="417"/>
      <c r="M22" s="417"/>
      <c r="N22" s="781"/>
      <c r="O22" s="778"/>
      <c r="P22" s="778"/>
      <c r="Q22" s="778"/>
    </row>
    <row r="23" spans="1:17" ht="20.25" customHeight="1" x14ac:dyDescent="0.35">
      <c r="A23" s="269"/>
      <c r="B23" s="227" t="str">
        <f>'New Conn'!B254</f>
        <v xml:space="preserve">1.7  Subdivision  (Domestic): </v>
      </c>
      <c r="C23" s="222"/>
      <c r="D23" s="521"/>
      <c r="E23" s="606"/>
      <c r="F23" s="379"/>
      <c r="G23" s="228"/>
      <c r="H23" s="229"/>
      <c r="I23" s="562"/>
      <c r="J23" s="271"/>
      <c r="K23" s="416"/>
      <c r="L23" s="417"/>
      <c r="M23" s="417"/>
      <c r="N23" s="781"/>
      <c r="O23" s="778"/>
      <c r="P23" s="778"/>
      <c r="Q23" s="778"/>
    </row>
    <row r="24" spans="1:17" ht="30.75" customHeight="1" x14ac:dyDescent="0.35">
      <c r="A24" s="269"/>
      <c r="B24" s="221" t="str">
        <f>'New Conn'!B256</f>
        <v xml:space="preserve">    1.7.1 Subdivision Urban Area:  A new Single Phase Split pre-payment meter for domestic connection </v>
      </c>
      <c r="C24" s="222" t="s">
        <v>240</v>
      </c>
      <c r="D24" s="521">
        <f>'New Conn'!H287</f>
        <v>28540</v>
      </c>
      <c r="E24" s="606">
        <f t="shared" si="0"/>
        <v>32821</v>
      </c>
      <c r="F24" s="379">
        <f>'New Conn'!I287</f>
        <v>28360</v>
      </c>
      <c r="G24" s="228">
        <f>(F24-E24)/E24</f>
        <v>-0.13591907620121263</v>
      </c>
      <c r="H24" s="229">
        <f>F24*H$3</f>
        <v>4254</v>
      </c>
      <c r="I24" s="562">
        <f>F24+H24</f>
        <v>32614</v>
      </c>
      <c r="J24" s="271">
        <v>9100033030416</v>
      </c>
      <c r="K24" s="416">
        <f>+$I24*(1+'Unit tariffs'!$F$2)</f>
        <v>34472.998</v>
      </c>
      <c r="L24" s="417">
        <f>+$K24*(1+'Unit tariffs'!$F$2)</f>
        <v>36437.958886</v>
      </c>
      <c r="M24" s="417">
        <f>+$L24*(1+'Unit tariffs'!$F$2)</f>
        <v>38514.922542501998</v>
      </c>
      <c r="N24" s="781">
        <f>+$M24*(1+'Unit tariffs'!$F$2)</f>
        <v>40710.273127424611</v>
      </c>
      <c r="O24" s="779" t="s">
        <v>633</v>
      </c>
      <c r="P24" s="779" t="s">
        <v>633</v>
      </c>
      <c r="Q24" s="779" t="s">
        <v>633</v>
      </c>
    </row>
    <row r="25" spans="1:17" ht="25.75" customHeight="1" x14ac:dyDescent="0.35">
      <c r="A25" s="269"/>
      <c r="B25" s="221" t="str">
        <f>'New Conn'!B292</f>
        <v xml:space="preserve">    1.7.2  Subdivision Pri Urban Area:  New Single Phase Split pre-payment meter connection in existing 11kV overhead line or  where 11kV overhead line needs to be    exteded up to 350m.</v>
      </c>
      <c r="C25" s="688" t="str">
        <f>'New Conn'!H292</f>
        <v xml:space="preserve">  [Mangaung - peri urban]</v>
      </c>
      <c r="D25" s="523">
        <f>'New Conn'!H323</f>
        <v>30890</v>
      </c>
      <c r="E25" s="606">
        <f t="shared" si="0"/>
        <v>35523.5</v>
      </c>
      <c r="F25" s="380">
        <f>'New Conn'!I323</f>
        <v>30690</v>
      </c>
      <c r="G25" s="228">
        <f t="shared" ref="G25:G87" si="1">(F25-E25)/E25</f>
        <v>-0.13606485847396793</v>
      </c>
      <c r="H25" s="229">
        <f t="shared" ref="H25:H87" si="2">F25*H$3</f>
        <v>4603.5</v>
      </c>
      <c r="I25" s="562">
        <f t="shared" ref="I25:I87" si="3">F25+H25</f>
        <v>35293.5</v>
      </c>
      <c r="J25" s="271">
        <v>9100033030417</v>
      </c>
      <c r="K25" s="416">
        <f>+$I25*(1+'Unit tariffs'!$F$2)</f>
        <v>37305.229500000001</v>
      </c>
      <c r="L25" s="417">
        <f>+$K25*(1+'Unit tariffs'!$F$2)</f>
        <v>39431.627581499997</v>
      </c>
      <c r="M25" s="417">
        <f>+$L25*(1+'Unit tariffs'!$F$2)</f>
        <v>41679.230353645493</v>
      </c>
      <c r="N25" s="781">
        <f>+$M25*(1+'Unit tariffs'!$F$2)</f>
        <v>44054.94648380328</v>
      </c>
      <c r="O25" s="778"/>
      <c r="P25" s="778"/>
      <c r="Q25" s="778"/>
    </row>
    <row r="26" spans="1:17" ht="36.25" customHeight="1" x14ac:dyDescent="0.35">
      <c r="A26" s="269"/>
      <c r="B26" s="221" t="str">
        <f>'New Conn'!B328</f>
        <v>1.7.3  Subdivision Pri Urban Area:  New Single Phase Split pre-payment meter connection in existing 11kV overhead line or  where 11kV overhead line needs to be exteded up to 350m.</v>
      </c>
      <c r="C26" s="222" t="str">
        <f>'New Conn'!H328</f>
        <v xml:space="preserve">  [Regional - peri urban]</v>
      </c>
      <c r="D26" s="523">
        <f>'New Conn'!H358</f>
        <v>22770</v>
      </c>
      <c r="E26" s="606">
        <f t="shared" si="0"/>
        <v>26185.499999999996</v>
      </c>
      <c r="F26" s="380">
        <f>'New Conn'!I358</f>
        <v>22620</v>
      </c>
      <c r="G26" s="228">
        <f t="shared" si="1"/>
        <v>-0.13616314372458027</v>
      </c>
      <c r="H26" s="229">
        <f t="shared" si="2"/>
        <v>3393</v>
      </c>
      <c r="I26" s="562">
        <f t="shared" si="3"/>
        <v>26013</v>
      </c>
      <c r="J26" s="271">
        <v>9100033030418</v>
      </c>
      <c r="K26" s="416">
        <f>+$I26*(1+'Unit tariffs'!$F$2)</f>
        <v>27495.740999999998</v>
      </c>
      <c r="L26" s="417">
        <f>+$K26*(1+'Unit tariffs'!$F$2)</f>
        <v>29062.998236999996</v>
      </c>
      <c r="M26" s="417">
        <f>+$L26*(1+'Unit tariffs'!$F$2)</f>
        <v>30719.589136508996</v>
      </c>
      <c r="N26" s="781">
        <f>+$M26*(1+'Unit tariffs'!$F$2)</f>
        <v>32470.605717290007</v>
      </c>
      <c r="O26" s="778"/>
      <c r="P26" s="778"/>
      <c r="Q26" s="778"/>
    </row>
    <row r="27" spans="1:17" ht="29.5" customHeight="1" x14ac:dyDescent="0.35">
      <c r="A27" s="269"/>
      <c r="B27" s="221" t="str">
        <f>'New Conn'!B364</f>
        <v xml:space="preserve"> 1.7.4 Subdivision Peri Urban Area:  New Three Split pre-payment meter connection on the stand boundary, where 11kV overhead line needs to be exteded up to 350m at ADMD = 7,5KVA</v>
      </c>
      <c r="C27" s="222"/>
      <c r="D27" s="523" t="str">
        <f>'New Conn'!H366</f>
        <v>Actual estimated cost plus network contribution for 7.5kVA</v>
      </c>
      <c r="E27" s="606" t="str">
        <f>'New Conn'!I366</f>
        <v>Actual estimated cost plus network contribution for 7.5kVA</v>
      </c>
      <c r="F27" s="380" t="str">
        <f>'New Conn'!I366</f>
        <v>Actual estimated cost plus network contribution for 7.5kVA</v>
      </c>
      <c r="G27" s="228"/>
      <c r="H27" s="229"/>
      <c r="I27" s="562"/>
      <c r="J27" s="271"/>
      <c r="K27" s="416"/>
      <c r="L27" s="417"/>
      <c r="M27" s="417"/>
      <c r="N27" s="781"/>
      <c r="O27" s="778"/>
      <c r="P27" s="778"/>
      <c r="Q27" s="778"/>
    </row>
    <row r="28" spans="1:17" x14ac:dyDescent="0.35">
      <c r="A28" s="269"/>
      <c r="B28" s="221"/>
      <c r="C28" s="222"/>
      <c r="D28" s="523"/>
      <c r="E28" s="606"/>
      <c r="F28" s="380"/>
      <c r="G28" s="228"/>
      <c r="H28" s="229"/>
      <c r="I28" s="562"/>
      <c r="J28" s="271"/>
      <c r="K28" s="416"/>
      <c r="L28" s="417"/>
      <c r="M28" s="417"/>
      <c r="N28" s="781"/>
      <c r="O28" s="778"/>
      <c r="P28" s="778"/>
      <c r="Q28" s="778"/>
    </row>
    <row r="29" spans="1:17" ht="25" x14ac:dyDescent="0.35">
      <c r="A29" s="269"/>
      <c r="B29" s="830" t="str">
        <f>'New Conn'!B373</f>
        <v>1.8  SSEG Single Phase Time of Use kWh meter (Connection to an erf, where the development costs has been paid)</v>
      </c>
      <c r="C29" s="222" t="str">
        <f>'New Conn'!H373</f>
        <v>Peri/Urban area</v>
      </c>
      <c r="D29" s="523">
        <f>'New Conn'!H401</f>
        <v>8560</v>
      </c>
      <c r="E29" s="606">
        <f t="shared" si="0"/>
        <v>9844</v>
      </c>
      <c r="F29" s="380">
        <f>'New Conn'!I401</f>
        <v>8510</v>
      </c>
      <c r="G29" s="228">
        <f t="shared" si="1"/>
        <v>-0.13551401869158877</v>
      </c>
      <c r="H29" s="229">
        <f t="shared" si="2"/>
        <v>1276.5</v>
      </c>
      <c r="I29" s="562">
        <f t="shared" si="3"/>
        <v>9786.5</v>
      </c>
      <c r="J29" s="271">
        <v>9100033030421</v>
      </c>
      <c r="K29" s="416">
        <f>+$I29*(1+'Unit tariffs'!$F$2)</f>
        <v>10344.3305</v>
      </c>
      <c r="L29" s="417">
        <f>+$K29*(1+'Unit tariffs'!$F$2)</f>
        <v>10933.957338499999</v>
      </c>
      <c r="M29" s="417">
        <f>+$L29*(1+'Unit tariffs'!$F$2)</f>
        <v>11557.192906794498</v>
      </c>
      <c r="N29" s="781">
        <f>+$M29*(1+'Unit tariffs'!$F$2)</f>
        <v>12215.952902481784</v>
      </c>
      <c r="O29" s="778"/>
      <c r="P29" s="778"/>
      <c r="Q29" s="778"/>
    </row>
    <row r="30" spans="1:17" x14ac:dyDescent="0.35">
      <c r="A30" s="269"/>
      <c r="B30" s="221"/>
      <c r="C30" s="222"/>
      <c r="D30" s="523"/>
      <c r="E30" s="606"/>
      <c r="F30" s="380"/>
      <c r="G30" s="228"/>
      <c r="H30" s="229"/>
      <c r="I30" s="562"/>
      <c r="J30" s="271"/>
      <c r="K30" s="416"/>
      <c r="L30" s="417"/>
      <c r="M30" s="417"/>
      <c r="N30" s="781"/>
      <c r="O30" s="778"/>
      <c r="P30" s="778"/>
      <c r="Q30" s="778"/>
    </row>
    <row r="31" spans="1:17" ht="37.5" x14ac:dyDescent="0.35">
      <c r="A31" s="269"/>
      <c r="B31" s="830" t="str">
        <f>'New Conn'!B406</f>
        <v>1.9 Single phase Peri-Urban domestic connection with TOU kWh meter.  Supplied by 25kVA single phase transformer (80A) from 11kV overhead line   (where an 11kV line exists and is within the first 350m)</v>
      </c>
      <c r="C31" s="222" t="str">
        <f>'New Conn'!H406</f>
        <v xml:space="preserve">  [Mangaung - peri urban area]</v>
      </c>
      <c r="D31" s="523">
        <f>'New Conn'!H436</f>
        <v>31400</v>
      </c>
      <c r="E31" s="606">
        <f t="shared" si="0"/>
        <v>36110</v>
      </c>
      <c r="F31" s="380">
        <f>'New Conn'!I436</f>
        <v>31210</v>
      </c>
      <c r="G31" s="228">
        <f t="shared" si="1"/>
        <v>-0.13569648296870673</v>
      </c>
      <c r="H31" s="229">
        <f t="shared" si="2"/>
        <v>4681.5</v>
      </c>
      <c r="I31" s="562">
        <f t="shared" si="3"/>
        <v>35891.5</v>
      </c>
      <c r="J31" s="271">
        <v>9100033030423</v>
      </c>
      <c r="K31" s="416">
        <f>+$I31*(1+'Unit tariffs'!$F$2)</f>
        <v>37937.315499999997</v>
      </c>
      <c r="L31" s="417">
        <f>+$K31*(1+'Unit tariffs'!$F$2)</f>
        <v>40099.742483499991</v>
      </c>
      <c r="M31" s="417">
        <f>+$L31*(1+'Unit tariffs'!$F$2)</f>
        <v>42385.427805059488</v>
      </c>
      <c r="N31" s="781">
        <f>+$M31*(1+'Unit tariffs'!$F$2)</f>
        <v>44801.397189947878</v>
      </c>
      <c r="O31" s="778"/>
      <c r="P31" s="778"/>
      <c r="Q31" s="778"/>
    </row>
    <row r="32" spans="1:17" x14ac:dyDescent="0.35">
      <c r="A32" s="269"/>
      <c r="B32" s="221"/>
      <c r="C32" s="222"/>
      <c r="D32" s="523"/>
      <c r="E32" s="606"/>
      <c r="F32" s="380"/>
      <c r="G32" s="228"/>
      <c r="H32" s="229"/>
      <c r="I32" s="562"/>
      <c r="J32" s="271"/>
      <c r="K32" s="416"/>
      <c r="L32" s="417"/>
      <c r="M32" s="417"/>
      <c r="N32" s="781"/>
      <c r="O32" s="778"/>
      <c r="P32" s="778"/>
      <c r="Q32" s="778"/>
    </row>
    <row r="33" spans="1:17" ht="37.5" x14ac:dyDescent="0.35">
      <c r="A33" s="269"/>
      <c r="B33" s="830" t="str">
        <f>'New Conn'!B443</f>
        <v>1.10 Single phase Peri-Urban domestic connection - Prepayment meter. - Supplied by 25kVA single phase Trfr (80A) from 11kV overhead line   (where an 11kV line exists and is within the first 350m)</v>
      </c>
      <c r="C33" s="222" t="str">
        <f>'New Conn'!H443</f>
        <v xml:space="preserve">  [Regional - peri urban area]</v>
      </c>
      <c r="D33" s="523">
        <f>'New Conn'!H475</f>
        <v>24520</v>
      </c>
      <c r="E33" s="606">
        <f t="shared" si="0"/>
        <v>28197.999999999996</v>
      </c>
      <c r="F33" s="380">
        <f>'New Conn'!I475</f>
        <v>24370</v>
      </c>
      <c r="G33" s="228">
        <f t="shared" si="1"/>
        <v>-0.13575430881622799</v>
      </c>
      <c r="H33" s="229">
        <f t="shared" si="2"/>
        <v>3655.5</v>
      </c>
      <c r="I33" s="562">
        <f t="shared" si="3"/>
        <v>28025.5</v>
      </c>
      <c r="J33" s="271">
        <v>9100033030425</v>
      </c>
      <c r="K33" s="416">
        <f>+$I33*(1+'Unit tariffs'!$F$2)</f>
        <v>29622.9535</v>
      </c>
      <c r="L33" s="417">
        <f>+$K33*(1+'Unit tariffs'!$F$2)</f>
        <v>31311.4618495</v>
      </c>
      <c r="M33" s="417">
        <f>+$L33*(1+'Unit tariffs'!$F$2)</f>
        <v>33096.215174921497</v>
      </c>
      <c r="N33" s="781">
        <f>+$M33*(1+'Unit tariffs'!$F$2)</f>
        <v>34982.699439892021</v>
      </c>
      <c r="O33" s="778"/>
      <c r="P33" s="778"/>
      <c r="Q33" s="778"/>
    </row>
    <row r="34" spans="1:17" x14ac:dyDescent="0.35">
      <c r="A34" s="269"/>
      <c r="B34" s="221"/>
      <c r="C34" s="222"/>
      <c r="D34" s="523"/>
      <c r="E34" s="606"/>
      <c r="F34" s="380"/>
      <c r="G34" s="228"/>
      <c r="H34" s="229"/>
      <c r="I34" s="562"/>
      <c r="J34" s="271"/>
      <c r="K34" s="416"/>
      <c r="L34" s="417"/>
      <c r="M34" s="417"/>
      <c r="N34" s="781"/>
      <c r="O34" s="778"/>
      <c r="P34" s="778"/>
      <c r="Q34" s="778"/>
    </row>
    <row r="35" spans="1:17" ht="25" x14ac:dyDescent="0.35">
      <c r="A35" s="269"/>
      <c r="B35" s="830" t="str">
        <f>'New Conn'!B483</f>
        <v>1.11  Additional  Meters Peri-Urban Area:  1x 1ph  Split pre-paid meter connection- limited up to 200kVA, LV per Erf. If more than one (1) meter is reuested, a cost estimate will be done.</v>
      </c>
      <c r="C35" s="222" t="str">
        <f>'New Conn'!H483</f>
        <v xml:space="preserve">  [Peri - urban area]</v>
      </c>
      <c r="D35" s="523">
        <f>'New Conn'!H508</f>
        <v>4160</v>
      </c>
      <c r="E35" s="606">
        <f t="shared" si="0"/>
        <v>4784</v>
      </c>
      <c r="F35" s="380">
        <f>'New Conn'!I508</f>
        <v>4140</v>
      </c>
      <c r="G35" s="228">
        <f t="shared" si="1"/>
        <v>-0.13461538461538461</v>
      </c>
      <c r="H35" s="229">
        <f t="shared" si="2"/>
        <v>621</v>
      </c>
      <c r="I35" s="562">
        <f t="shared" si="3"/>
        <v>4761</v>
      </c>
      <c r="J35" s="271">
        <v>9100033030427</v>
      </c>
      <c r="K35" s="416">
        <f>+$I35*(1+'Unit tariffs'!$F$2)</f>
        <v>5032.3769999999995</v>
      </c>
      <c r="L35" s="417">
        <f>+$K35*(1+'Unit tariffs'!$F$2)</f>
        <v>5319.2224889999989</v>
      </c>
      <c r="M35" s="417">
        <f>+$L35*(1+'Unit tariffs'!$F$2)</f>
        <v>5622.4181708729984</v>
      </c>
      <c r="N35" s="781">
        <f>+$M35*(1+'Unit tariffs'!$F$2)</f>
        <v>5942.8960066127593</v>
      </c>
      <c r="O35" s="778"/>
      <c r="P35" s="778"/>
      <c r="Q35" s="778"/>
    </row>
    <row r="36" spans="1:17" x14ac:dyDescent="0.35">
      <c r="A36" s="269"/>
      <c r="B36" s="221"/>
      <c r="C36" s="222"/>
      <c r="D36" s="523"/>
      <c r="E36" s="606"/>
      <c r="F36" s="380"/>
      <c r="G36" s="228"/>
      <c r="H36" s="229"/>
      <c r="I36" s="562"/>
      <c r="J36" s="271"/>
      <c r="K36" s="416"/>
      <c r="L36" s="417"/>
      <c r="M36" s="417"/>
      <c r="N36" s="781"/>
      <c r="O36" s="778"/>
      <c r="P36" s="778"/>
      <c r="Q36" s="778"/>
    </row>
    <row r="37" spans="1:17" ht="25" x14ac:dyDescent="0.35">
      <c r="A37" s="269"/>
      <c r="B37" s="830" t="str">
        <f>'New Conn'!B514</f>
        <v>1.12  Additional  Meters Urban Area:  1x 1ph  Split pre-paid meter connection- limited up to 500kVA, LV per Erf. If more than one (1) meter is reuested, a cost estimate will be done.</v>
      </c>
      <c r="C37" s="222" t="str">
        <f>'New Conn'!H514</f>
        <v xml:space="preserve">  [Urban area]</v>
      </c>
      <c r="D37" s="523">
        <f>'New Conn'!H536</f>
        <v>2940</v>
      </c>
      <c r="E37" s="606">
        <f t="shared" si="0"/>
        <v>3380.9999999999995</v>
      </c>
      <c r="F37" s="380">
        <f>'New Conn'!I536</f>
        <v>2930</v>
      </c>
      <c r="G37" s="228">
        <f t="shared" si="1"/>
        <v>-0.1333924874297544</v>
      </c>
      <c r="H37" s="229">
        <f t="shared" si="2"/>
        <v>439.5</v>
      </c>
      <c r="I37" s="562">
        <f t="shared" si="3"/>
        <v>3369.5</v>
      </c>
      <c r="J37" s="271">
        <v>9100033030429</v>
      </c>
      <c r="K37" s="416">
        <f>+$I37*(1+'Unit tariffs'!$F$2)</f>
        <v>3561.5614999999998</v>
      </c>
      <c r="L37" s="417">
        <f>+$K37*(1+'Unit tariffs'!$F$2)</f>
        <v>3764.5705054999994</v>
      </c>
      <c r="M37" s="417">
        <f>+$L37*(1+'Unit tariffs'!$F$2)</f>
        <v>3979.151024313499</v>
      </c>
      <c r="N37" s="781">
        <f>+$M37*(1+'Unit tariffs'!$F$2)</f>
        <v>4205.9626326993684</v>
      </c>
      <c r="O37" s="778"/>
      <c r="P37" s="778"/>
      <c r="Q37" s="778"/>
    </row>
    <row r="38" spans="1:17" x14ac:dyDescent="0.35">
      <c r="A38" s="269"/>
      <c r="B38" s="221"/>
      <c r="C38" s="222"/>
      <c r="D38" s="523"/>
      <c r="E38" s="606"/>
      <c r="F38" s="380"/>
      <c r="G38" s="228"/>
      <c r="H38" s="229"/>
      <c r="I38" s="562"/>
      <c r="J38" s="271"/>
      <c r="K38" s="416"/>
      <c r="L38" s="417"/>
      <c r="M38" s="417"/>
      <c r="N38" s="781"/>
      <c r="O38" s="778"/>
      <c r="P38" s="778"/>
      <c r="Q38" s="778"/>
    </row>
    <row r="39" spans="1:17" x14ac:dyDescent="0.35">
      <c r="A39" s="269"/>
      <c r="B39" s="227" t="str">
        <f>'New Conn'!B546</f>
        <v>2. NEW THREE PHASE DOMESTIC CONNECTIONS</v>
      </c>
      <c r="C39" s="222"/>
      <c r="D39" s="523"/>
      <c r="E39" s="606"/>
      <c r="F39" s="380"/>
      <c r="G39" s="228"/>
      <c r="H39" s="229"/>
      <c r="I39" s="562"/>
      <c r="J39" s="271"/>
      <c r="K39" s="416"/>
      <c r="L39" s="417"/>
      <c r="M39" s="417"/>
      <c r="N39" s="781"/>
      <c r="O39" s="778"/>
      <c r="P39" s="778"/>
      <c r="Q39" s="778"/>
    </row>
    <row r="40" spans="1:17" x14ac:dyDescent="0.35">
      <c r="A40" s="269"/>
      <c r="B40" s="221"/>
      <c r="C40" s="222"/>
      <c r="D40" s="523"/>
      <c r="E40" s="606"/>
      <c r="F40" s="380"/>
      <c r="G40" s="228"/>
      <c r="H40" s="229"/>
      <c r="I40" s="562"/>
      <c r="J40" s="271"/>
      <c r="K40" s="416"/>
      <c r="L40" s="417"/>
      <c r="M40" s="417"/>
      <c r="N40" s="781"/>
      <c r="O40" s="778"/>
      <c r="P40" s="778"/>
      <c r="Q40" s="778"/>
    </row>
    <row r="41" spans="1:17" ht="37.5" x14ac:dyDescent="0.35">
      <c r="A41" s="269"/>
      <c r="B41" s="830" t="str">
        <f>'New Conn'!B549</f>
        <v>2.1 Three phase domestic connection (80A) in meter box,  Time of use (TOU) meter :  Connection in meter box placed on stand boundary (Connection to an erf, where the development costs has NOT been paid).</v>
      </c>
      <c r="C41" s="222" t="str">
        <f>'New Conn'!H549</f>
        <v xml:space="preserve"> [Mangaung - Urban]</v>
      </c>
      <c r="D41" s="523">
        <f>'New Conn'!H584</f>
        <v>30080</v>
      </c>
      <c r="E41" s="606">
        <f t="shared" si="0"/>
        <v>34592</v>
      </c>
      <c r="F41" s="380">
        <f>'New Conn'!I584</f>
        <v>29790</v>
      </c>
      <c r="G41" s="228">
        <f t="shared" si="1"/>
        <v>-0.13881822386679002</v>
      </c>
      <c r="H41" s="229">
        <f t="shared" si="2"/>
        <v>4468.5</v>
      </c>
      <c r="I41" s="562">
        <f t="shared" si="3"/>
        <v>34258.5</v>
      </c>
      <c r="J41" s="271">
        <v>9100033030433</v>
      </c>
      <c r="K41" s="416">
        <f>+$I41*(1+'Unit tariffs'!$F$2)</f>
        <v>36211.234499999999</v>
      </c>
      <c r="L41" s="417">
        <f>+$K41*(1+'Unit tariffs'!$F$2)</f>
        <v>38275.274866499996</v>
      </c>
      <c r="M41" s="417">
        <f>+$L41*(1+'Unit tariffs'!$F$2)</f>
        <v>40456.965533890492</v>
      </c>
      <c r="N41" s="781">
        <f>+$M41*(1+'Unit tariffs'!$F$2)</f>
        <v>42763.012569322251</v>
      </c>
      <c r="O41" s="778"/>
      <c r="P41" s="778"/>
      <c r="Q41" s="778"/>
    </row>
    <row r="42" spans="1:17" x14ac:dyDescent="0.35">
      <c r="A42" s="269"/>
      <c r="B42" s="221"/>
      <c r="C42" s="222"/>
      <c r="D42" s="523"/>
      <c r="E42" s="606"/>
      <c r="F42" s="380"/>
      <c r="G42" s="228"/>
      <c r="H42" s="229"/>
      <c r="I42" s="562"/>
      <c r="J42" s="271"/>
      <c r="K42" s="416"/>
      <c r="L42" s="417"/>
      <c r="M42" s="417"/>
      <c r="N42" s="781"/>
      <c r="O42" s="778"/>
      <c r="P42" s="778"/>
      <c r="Q42" s="778"/>
    </row>
    <row r="43" spans="1:17" ht="37.5" x14ac:dyDescent="0.35">
      <c r="A43" s="269"/>
      <c r="B43" s="830" t="str">
        <f>'New Conn'!B590</f>
        <v xml:space="preserve">2.2 Three phase domestic connection (80A) in meter box,  Time of use (TOU) meter :  Connection in meter box placed on stand boundary  (Connection to an erf, where the development costs has NOT been paid) .                                 </v>
      </c>
      <c r="C43" s="222" t="str">
        <f>'New Conn'!H590</f>
        <v xml:space="preserve">  [Regional - Urban]</v>
      </c>
      <c r="D43" s="523">
        <f>'New Conn'!H618</f>
        <v>18740</v>
      </c>
      <c r="E43" s="606">
        <f t="shared" si="0"/>
        <v>21551</v>
      </c>
      <c r="F43" s="380">
        <f>'New Conn'!I618</f>
        <v>17660</v>
      </c>
      <c r="G43" s="228">
        <f t="shared" si="1"/>
        <v>-0.180548466428472</v>
      </c>
      <c r="H43" s="229">
        <f t="shared" si="2"/>
        <v>2649</v>
      </c>
      <c r="I43" s="562">
        <f t="shared" si="3"/>
        <v>20309</v>
      </c>
      <c r="J43" s="271">
        <v>9100033030435</v>
      </c>
      <c r="K43" s="416">
        <f>+$I43*(1+'Unit tariffs'!$F$2)</f>
        <v>21466.612999999998</v>
      </c>
      <c r="L43" s="417">
        <f>+$K43*(1+'Unit tariffs'!$F$2)</f>
        <v>22690.209940999997</v>
      </c>
      <c r="M43" s="417">
        <f>+$L43*(1+'Unit tariffs'!$F$2)</f>
        <v>23983.551907636996</v>
      </c>
      <c r="N43" s="781">
        <f>+$M43*(1+'Unit tariffs'!$F$2)</f>
        <v>25350.614366372305</v>
      </c>
      <c r="O43" s="778"/>
      <c r="P43" s="778"/>
      <c r="Q43" s="778"/>
    </row>
    <row r="44" spans="1:17" x14ac:dyDescent="0.35">
      <c r="A44" s="269"/>
      <c r="B44" s="221"/>
      <c r="C44" s="222"/>
      <c r="D44" s="523"/>
      <c r="E44" s="606"/>
      <c r="F44" s="380"/>
      <c r="G44" s="228"/>
      <c r="H44" s="229"/>
      <c r="I44" s="562"/>
      <c r="J44" s="271"/>
      <c r="K44" s="416"/>
      <c r="L44" s="417"/>
      <c r="M44" s="417"/>
      <c r="N44" s="781"/>
      <c r="O44" s="778"/>
      <c r="P44" s="778"/>
      <c r="Q44" s="778"/>
    </row>
    <row r="45" spans="1:17" ht="37.5" x14ac:dyDescent="0.35">
      <c r="A45" s="269"/>
      <c r="B45" s="830" t="str">
        <f>'New Conn'!B626</f>
        <v>2.3 SSEG Three phase domestic connection (80A) in meter box,  Time of use (TOU) meter :  Connection in meter box placed on stand boundary . (Connection to an erf, where the development costs has NOT been paid).</v>
      </c>
      <c r="C45" s="222" t="str">
        <f>'New Conn'!H626</f>
        <v xml:space="preserve"> [Mangaung - Urban]</v>
      </c>
      <c r="D45" s="523">
        <f>'New Conn'!H661</f>
        <v>29710</v>
      </c>
      <c r="E45" s="606">
        <f t="shared" si="0"/>
        <v>34166.5</v>
      </c>
      <c r="F45" s="380">
        <f>'New Conn'!I661</f>
        <v>29420</v>
      </c>
      <c r="G45" s="228">
        <f t="shared" si="1"/>
        <v>-0.13892262889087265</v>
      </c>
      <c r="H45" s="229">
        <f t="shared" si="2"/>
        <v>4413</v>
      </c>
      <c r="I45" s="562">
        <f t="shared" si="3"/>
        <v>33833</v>
      </c>
      <c r="J45" s="271">
        <v>9100033030437</v>
      </c>
      <c r="K45" s="416">
        <f>+$I45*(1+'Unit tariffs'!$F$2)</f>
        <v>35761.481</v>
      </c>
      <c r="L45" s="417">
        <f>+$K45*(1+'Unit tariffs'!$F$2)</f>
        <v>37799.885416999998</v>
      </c>
      <c r="M45" s="417">
        <f>+$L45*(1+'Unit tariffs'!$F$2)</f>
        <v>39954.478885768993</v>
      </c>
      <c r="N45" s="781">
        <f>+$M45*(1+'Unit tariffs'!$F$2)</f>
        <v>42231.884182257825</v>
      </c>
      <c r="O45" s="778"/>
      <c r="P45" s="778"/>
      <c r="Q45" s="778"/>
    </row>
    <row r="46" spans="1:17" x14ac:dyDescent="0.35">
      <c r="A46" s="269"/>
      <c r="B46" s="221"/>
      <c r="C46" s="222"/>
      <c r="D46" s="523"/>
      <c r="E46" s="606"/>
      <c r="F46" s="380"/>
      <c r="G46" s="228"/>
      <c r="H46" s="229"/>
      <c r="I46" s="562"/>
      <c r="J46" s="271"/>
      <c r="K46" s="416"/>
      <c r="L46" s="417"/>
      <c r="M46" s="417"/>
      <c r="N46" s="781"/>
      <c r="O46" s="778"/>
      <c r="P46" s="778"/>
      <c r="Q46" s="778"/>
    </row>
    <row r="47" spans="1:17" ht="38.5" x14ac:dyDescent="0.35">
      <c r="A47" s="269"/>
      <c r="B47" s="221" t="str">
        <f>'New Conn'!B667</f>
        <v xml:space="preserve">2.4 SSEG Three phase domestic connection (80A) in meter box,  Time of use (TOU) meter :  Connection in meter box placed on stand boundary taken from (Connection to an erf, where the development costs has NOT been paid).                                    </v>
      </c>
      <c r="C47" s="222" t="str">
        <f>'New Conn'!H667</f>
        <v xml:space="preserve">  [Regional -  Urban area]</v>
      </c>
      <c r="D47" s="523">
        <f>'New Conn'!H695</f>
        <v>20460</v>
      </c>
      <c r="E47" s="606">
        <f t="shared" si="0"/>
        <v>23529</v>
      </c>
      <c r="F47" s="380">
        <f>'New Conn'!I695</f>
        <v>18840</v>
      </c>
      <c r="G47" s="228">
        <f t="shared" si="1"/>
        <v>-0.19928598750478133</v>
      </c>
      <c r="H47" s="229">
        <f t="shared" si="2"/>
        <v>2826</v>
      </c>
      <c r="I47" s="562">
        <f t="shared" si="3"/>
        <v>21666</v>
      </c>
      <c r="J47" s="271">
        <v>9100033030439</v>
      </c>
      <c r="K47" s="416">
        <f>+$I47*(1+'Unit tariffs'!$F$2)</f>
        <v>22900.962</v>
      </c>
      <c r="L47" s="417">
        <f>+$K47*(1+'Unit tariffs'!$F$2)</f>
        <v>24206.316833999997</v>
      </c>
      <c r="M47" s="417">
        <f>+$L47*(1+'Unit tariffs'!$F$2)</f>
        <v>25586.076893537997</v>
      </c>
      <c r="N47" s="781">
        <f>+$M47*(1+'Unit tariffs'!$F$2)</f>
        <v>27044.483276469662</v>
      </c>
      <c r="O47" s="778"/>
      <c r="P47" s="778"/>
      <c r="Q47" s="778"/>
    </row>
    <row r="48" spans="1:17" x14ac:dyDescent="0.35">
      <c r="A48" s="269"/>
      <c r="B48" s="830"/>
      <c r="C48" s="222"/>
      <c r="D48" s="523"/>
      <c r="E48" s="606"/>
      <c r="F48" s="380"/>
      <c r="G48" s="228"/>
      <c r="H48" s="229"/>
      <c r="I48" s="562"/>
      <c r="J48" s="271"/>
      <c r="K48" s="416"/>
      <c r="L48" s="417"/>
      <c r="M48" s="417"/>
      <c r="N48" s="781"/>
      <c r="O48" s="778"/>
      <c r="P48" s="778"/>
      <c r="Q48" s="778"/>
    </row>
    <row r="49" spans="1:17" ht="25" x14ac:dyDescent="0.35">
      <c r="A49" s="269"/>
      <c r="B49" s="830" t="str">
        <f>'New Conn'!B700</f>
        <v>2.5 Three phase domestic connection in meter box, Split pre-payment meter (Connection to an erf, where the development costs has NOT been paid)</v>
      </c>
      <c r="C49" s="222" t="str">
        <f>'New Conn'!H700</f>
        <v xml:space="preserve">  [Mangaung - Urban]</v>
      </c>
      <c r="D49" s="523">
        <f>'New Conn'!H735</f>
        <v>30270</v>
      </c>
      <c r="E49" s="606">
        <f t="shared" si="0"/>
        <v>34810.5</v>
      </c>
      <c r="F49" s="380">
        <f>'New Conn'!I735</f>
        <v>30270</v>
      </c>
      <c r="G49" s="228">
        <f t="shared" si="1"/>
        <v>-0.13043478260869565</v>
      </c>
      <c r="H49" s="229">
        <f t="shared" si="2"/>
        <v>4540.5</v>
      </c>
      <c r="I49" s="562">
        <f t="shared" si="3"/>
        <v>34810.5</v>
      </c>
      <c r="J49" s="271">
        <v>9100033030441</v>
      </c>
      <c r="K49" s="416">
        <f>+$I49*(1+'Unit tariffs'!$F$2)</f>
        <v>36794.698499999999</v>
      </c>
      <c r="L49" s="417">
        <f>+$K49*(1+'Unit tariffs'!$F$2)</f>
        <v>38891.996314499993</v>
      </c>
      <c r="M49" s="417">
        <f>+$L49*(1+'Unit tariffs'!$F$2)</f>
        <v>41108.84010442649</v>
      </c>
      <c r="N49" s="781">
        <f>+$M49*(1+'Unit tariffs'!$F$2)</f>
        <v>43452.043990378799</v>
      </c>
      <c r="O49" s="778"/>
      <c r="P49" s="778"/>
      <c r="Q49" s="778"/>
    </row>
    <row r="50" spans="1:17" x14ac:dyDescent="0.35">
      <c r="A50" s="269"/>
      <c r="B50" s="221"/>
      <c r="C50" s="222"/>
      <c r="D50" s="523"/>
      <c r="E50" s="606"/>
      <c r="F50" s="380"/>
      <c r="G50" s="228"/>
      <c r="H50" s="229"/>
      <c r="I50" s="562"/>
      <c r="J50" s="271"/>
      <c r="K50" s="416"/>
      <c r="L50" s="417"/>
      <c r="M50" s="417"/>
      <c r="N50" s="781"/>
      <c r="O50" s="778"/>
      <c r="P50" s="778"/>
      <c r="Q50" s="778"/>
    </row>
    <row r="51" spans="1:17" ht="25" x14ac:dyDescent="0.35">
      <c r="A51" s="269"/>
      <c r="B51" s="830" t="str">
        <f>'New Conn'!B742</f>
        <v>2.6 Three phase domestic connection in meter box, Split pre-payment meter. (Connection to an erf, where the development costs has NOT been paid)</v>
      </c>
      <c r="C51" s="222" t="str">
        <f>'New Conn'!H742</f>
        <v xml:space="preserve">  [Regional - Urban]</v>
      </c>
      <c r="D51" s="523">
        <f>'New Conn'!H773</f>
        <v>18420</v>
      </c>
      <c r="E51" s="606">
        <f t="shared" si="0"/>
        <v>21183</v>
      </c>
      <c r="F51" s="380">
        <f>'New Conn'!I773</f>
        <v>18420</v>
      </c>
      <c r="G51" s="228">
        <f t="shared" si="1"/>
        <v>-0.13043478260869565</v>
      </c>
      <c r="H51" s="229">
        <f t="shared" si="2"/>
        <v>2763</v>
      </c>
      <c r="I51" s="562">
        <f t="shared" si="3"/>
        <v>21183</v>
      </c>
      <c r="J51" s="271">
        <v>9100033030443</v>
      </c>
      <c r="K51" s="416">
        <f>+$I51*(1+'Unit tariffs'!$F$2)</f>
        <v>22390.431</v>
      </c>
      <c r="L51" s="417">
        <f>+$K51*(1+'Unit tariffs'!$F$2)</f>
        <v>23666.685567</v>
      </c>
      <c r="M51" s="417">
        <f>+$L51*(1+'Unit tariffs'!$F$2)</f>
        <v>25015.686644318997</v>
      </c>
      <c r="N51" s="781">
        <f>+$M51*(1+'Unit tariffs'!$F$2)</f>
        <v>26441.580783045178</v>
      </c>
      <c r="O51" s="778"/>
      <c r="P51" s="778"/>
      <c r="Q51" s="778"/>
    </row>
    <row r="52" spans="1:17" x14ac:dyDescent="0.35">
      <c r="A52" s="269"/>
      <c r="B52" s="221"/>
      <c r="C52" s="222"/>
      <c r="D52" s="523"/>
      <c r="E52" s="606"/>
      <c r="F52" s="380"/>
      <c r="G52" s="228"/>
      <c r="H52" s="229"/>
      <c r="I52" s="562"/>
      <c r="J52" s="271"/>
      <c r="K52" s="416"/>
      <c r="L52" s="417"/>
      <c r="M52" s="417"/>
      <c r="N52" s="781"/>
      <c r="O52" s="778"/>
      <c r="P52" s="778"/>
      <c r="Q52" s="778"/>
    </row>
    <row r="53" spans="1:17" ht="37.5" x14ac:dyDescent="0.35">
      <c r="A53" s="269"/>
      <c r="B53" s="830" t="str">
        <f>'New Conn'!B776</f>
        <v>2.7 Three phase domestic connection (80A) in meter box,  Time of use (TOU) meter :  Connection in meter box placed on stand boundary (Connection to an erf, where the development costs has been paid [5kVA]).</v>
      </c>
      <c r="C53" s="222" t="str">
        <f>'New Conn'!H776</f>
        <v xml:space="preserve"> [Mangaung - Urban]</v>
      </c>
      <c r="D53" s="523">
        <f>'New Conn'!H811</f>
        <v>11890</v>
      </c>
      <c r="E53" s="606">
        <f t="shared" si="0"/>
        <v>13673.499999999998</v>
      </c>
      <c r="F53" s="380">
        <f>'New Conn'!I811</f>
        <v>11890</v>
      </c>
      <c r="G53" s="228">
        <f t="shared" si="1"/>
        <v>-0.13043478260869554</v>
      </c>
      <c r="H53" s="229">
        <f t="shared" si="2"/>
        <v>1783.5</v>
      </c>
      <c r="I53" s="562">
        <f t="shared" si="3"/>
        <v>13673.5</v>
      </c>
      <c r="J53" s="271">
        <v>9100033030445</v>
      </c>
      <c r="K53" s="416">
        <f>+$I53*(1+'Unit tariffs'!$F$2)</f>
        <v>14452.889499999999</v>
      </c>
      <c r="L53" s="417">
        <f>+$K53*(1+'Unit tariffs'!$F$2)</f>
        <v>15276.704201499999</v>
      </c>
      <c r="M53" s="417">
        <f>+$L53*(1+'Unit tariffs'!$F$2)</f>
        <v>16147.476340985499</v>
      </c>
      <c r="N53" s="781">
        <f>+$M53*(1+'Unit tariffs'!$F$2)</f>
        <v>17067.882492421671</v>
      </c>
      <c r="O53" s="778"/>
      <c r="P53" s="778"/>
      <c r="Q53" s="778"/>
    </row>
    <row r="54" spans="1:17" x14ac:dyDescent="0.35">
      <c r="A54" s="269"/>
      <c r="B54" s="221"/>
      <c r="C54" s="222"/>
      <c r="D54" s="523"/>
      <c r="E54" s="606"/>
      <c r="F54" s="380"/>
      <c r="G54" s="228"/>
      <c r="H54" s="229"/>
      <c r="I54" s="562"/>
      <c r="J54" s="271"/>
      <c r="K54" s="416"/>
      <c r="L54" s="417"/>
      <c r="M54" s="417"/>
      <c r="N54" s="781"/>
      <c r="O54" s="778"/>
      <c r="P54" s="778"/>
      <c r="Q54" s="778"/>
    </row>
    <row r="55" spans="1:17" ht="37.5" x14ac:dyDescent="0.35">
      <c r="A55" s="269"/>
      <c r="B55" s="830" t="str">
        <f>'New Conn'!B817</f>
        <v xml:space="preserve">2.8 Three phase domestic connection (80A) in meter box,  Time of use (TOU) meter :  Connection in meter box placed on stand boundary  (Connection to an erf, where the development costs has been paid [5kVA]).                                 </v>
      </c>
      <c r="C55" s="222" t="str">
        <f>'New Conn'!H817</f>
        <v xml:space="preserve">  [Regional - Urban]</v>
      </c>
      <c r="D55" s="523">
        <f>'New Conn'!H845</f>
        <v>9110</v>
      </c>
      <c r="E55" s="606">
        <f t="shared" si="0"/>
        <v>10476.5</v>
      </c>
      <c r="F55" s="380">
        <f>'New Conn'!I845</f>
        <v>8030</v>
      </c>
      <c r="G55" s="228">
        <f t="shared" si="1"/>
        <v>-0.23352264592182503</v>
      </c>
      <c r="H55" s="229">
        <f t="shared" si="2"/>
        <v>1204.5</v>
      </c>
      <c r="I55" s="562">
        <f t="shared" si="3"/>
        <v>9234.5</v>
      </c>
      <c r="J55" s="271">
        <v>9100033030447</v>
      </c>
      <c r="K55" s="416">
        <f>+$I55*(1+'Unit tariffs'!$F$2)</f>
        <v>9760.8665000000001</v>
      </c>
      <c r="L55" s="417">
        <f>+$K55*(1+'Unit tariffs'!$F$2)</f>
        <v>10317.2358905</v>
      </c>
      <c r="M55" s="417">
        <f>+$L55*(1+'Unit tariffs'!$F$2)</f>
        <v>10905.318336258499</v>
      </c>
      <c r="N55" s="781">
        <f>+$M55*(1+'Unit tariffs'!$F$2)</f>
        <v>11526.921481425232</v>
      </c>
      <c r="O55" s="778"/>
      <c r="P55" s="778"/>
      <c r="Q55" s="778"/>
    </row>
    <row r="56" spans="1:17" x14ac:dyDescent="0.35">
      <c r="A56" s="269"/>
      <c r="B56" s="221"/>
      <c r="C56" s="222"/>
      <c r="D56" s="523"/>
      <c r="E56" s="606"/>
      <c r="F56" s="380"/>
      <c r="G56" s="228"/>
      <c r="H56" s="229"/>
      <c r="I56" s="562"/>
      <c r="J56" s="271"/>
      <c r="K56" s="416"/>
      <c r="L56" s="417"/>
      <c r="M56" s="417"/>
      <c r="N56" s="781"/>
      <c r="O56" s="778"/>
      <c r="P56" s="778"/>
      <c r="Q56" s="778"/>
    </row>
    <row r="57" spans="1:17" ht="37.5" x14ac:dyDescent="0.35">
      <c r="A57" s="269"/>
      <c r="B57" s="830" t="str">
        <f>'New Conn'!B853</f>
        <v>2.9 SSEG Three phase domestic connection (80A) in meter box,  Time of use (TOU) meter :  Connection in meter box placed on stand boundary . (Connection to an erf, where the development costs has been paid [5kVA]).</v>
      </c>
      <c r="C57" s="222" t="str">
        <f>'New Conn'!H853</f>
        <v xml:space="preserve"> [Mangaung - Urban]</v>
      </c>
      <c r="D57" s="523">
        <f>'New Conn'!H888</f>
        <v>11890</v>
      </c>
      <c r="E57" s="606">
        <f t="shared" si="0"/>
        <v>13673.499999999998</v>
      </c>
      <c r="F57" s="380">
        <f>'New Conn'!I888</f>
        <v>11890</v>
      </c>
      <c r="G57" s="228">
        <f t="shared" si="1"/>
        <v>-0.13043478260869554</v>
      </c>
      <c r="H57" s="229">
        <f t="shared" si="2"/>
        <v>1783.5</v>
      </c>
      <c r="I57" s="562">
        <f t="shared" si="3"/>
        <v>13673.5</v>
      </c>
      <c r="J57" s="271">
        <v>9100033030449</v>
      </c>
      <c r="K57" s="416">
        <f>+$I57*(1+'Unit tariffs'!$F$2)</f>
        <v>14452.889499999999</v>
      </c>
      <c r="L57" s="417">
        <f>+$K57*(1+'Unit tariffs'!$F$2)</f>
        <v>15276.704201499999</v>
      </c>
      <c r="M57" s="417">
        <f>+$L57*(1+'Unit tariffs'!$F$2)</f>
        <v>16147.476340985499</v>
      </c>
      <c r="N57" s="781">
        <f>+$M57*(1+'Unit tariffs'!$F$2)</f>
        <v>17067.882492421671</v>
      </c>
      <c r="O57" s="778"/>
      <c r="P57" s="778"/>
      <c r="Q57" s="778"/>
    </row>
    <row r="58" spans="1:17" x14ac:dyDescent="0.35">
      <c r="A58" s="269"/>
      <c r="B58" s="221"/>
      <c r="C58" s="222"/>
      <c r="D58" s="523"/>
      <c r="E58" s="606"/>
      <c r="F58" s="380"/>
      <c r="G58" s="228"/>
      <c r="H58" s="229"/>
      <c r="I58" s="562"/>
      <c r="J58" s="271"/>
      <c r="K58" s="416"/>
      <c r="L58" s="417"/>
      <c r="M58" s="417"/>
      <c r="N58" s="781"/>
      <c r="O58" s="778"/>
      <c r="P58" s="778"/>
      <c r="Q58" s="778"/>
    </row>
    <row r="59" spans="1:17" ht="37.5" x14ac:dyDescent="0.35">
      <c r="A59" s="269"/>
      <c r="B59" s="830" t="str">
        <f>'New Conn'!B894</f>
        <v xml:space="preserve">2.10 SSEG Three phase domestic connection (80A) in meter box,  Time of use (TOU) meter :  Connection in meter box placed on stand boundary taken from (Connection to an erf, where the development costs has been paid [5kVA]).                                    </v>
      </c>
      <c r="C59" s="222" t="str">
        <f>'New Conn'!H894</f>
        <v xml:space="preserve">  [Regional -  Urban area]</v>
      </c>
      <c r="D59" s="523">
        <f>'New Conn'!H921</f>
        <v>9110</v>
      </c>
      <c r="E59" s="606">
        <f t="shared" si="0"/>
        <v>10476.5</v>
      </c>
      <c r="F59" s="380">
        <f>'New Conn'!I921</f>
        <v>8030</v>
      </c>
      <c r="G59" s="228">
        <f t="shared" si="1"/>
        <v>-0.23352264592182503</v>
      </c>
      <c r="H59" s="229">
        <f t="shared" si="2"/>
        <v>1204.5</v>
      </c>
      <c r="I59" s="562">
        <f t="shared" si="3"/>
        <v>9234.5</v>
      </c>
      <c r="J59" s="271">
        <v>9100033030451</v>
      </c>
      <c r="K59" s="416">
        <f>+$I59*(1+'Unit tariffs'!$F$2)</f>
        <v>9760.8665000000001</v>
      </c>
      <c r="L59" s="417">
        <f>+$K59*(1+'Unit tariffs'!$F$2)</f>
        <v>10317.2358905</v>
      </c>
      <c r="M59" s="417">
        <f>+$L59*(1+'Unit tariffs'!$F$2)</f>
        <v>10905.318336258499</v>
      </c>
      <c r="N59" s="781">
        <f>+$M59*(1+'Unit tariffs'!$F$2)</f>
        <v>11526.921481425232</v>
      </c>
      <c r="O59" s="778"/>
      <c r="P59" s="778"/>
      <c r="Q59" s="778"/>
    </row>
    <row r="60" spans="1:17" x14ac:dyDescent="0.35">
      <c r="A60" s="269"/>
      <c r="B60" s="221"/>
      <c r="C60" s="222"/>
      <c r="D60" s="523"/>
      <c r="E60" s="606"/>
      <c r="F60" s="380"/>
      <c r="G60" s="228"/>
      <c r="H60" s="229"/>
      <c r="I60" s="562"/>
      <c r="J60" s="271"/>
      <c r="K60" s="416"/>
      <c r="L60" s="417"/>
      <c r="M60" s="417"/>
      <c r="N60" s="781"/>
      <c r="O60" s="778"/>
      <c r="P60" s="778"/>
      <c r="Q60" s="778"/>
    </row>
    <row r="61" spans="1:17" ht="25" x14ac:dyDescent="0.35">
      <c r="A61" s="269"/>
      <c r="B61" s="830" t="str">
        <f>'New Conn'!B926</f>
        <v>2.11 Three phase domestic connection in meter box, Split pre-payment meter (Connection to an erf, where the development costs has been paid [5kVA]).</v>
      </c>
      <c r="C61" s="222" t="str">
        <f>'New Conn'!H926</f>
        <v xml:space="preserve">  [Mangaung - Urban]</v>
      </c>
      <c r="D61" s="523">
        <f>'New Conn'!H961</f>
        <v>12740</v>
      </c>
      <c r="E61" s="606">
        <f t="shared" si="0"/>
        <v>14650.999999999998</v>
      </c>
      <c r="F61" s="380">
        <f>'New Conn'!I961</f>
        <v>12740</v>
      </c>
      <c r="G61" s="228">
        <f t="shared" si="1"/>
        <v>-0.13043478260869554</v>
      </c>
      <c r="H61" s="229">
        <f t="shared" si="2"/>
        <v>1911</v>
      </c>
      <c r="I61" s="562">
        <f t="shared" si="3"/>
        <v>14651</v>
      </c>
      <c r="J61" s="271">
        <v>9100033030453</v>
      </c>
      <c r="K61" s="416">
        <f>+$I61*(1+'Unit tariffs'!$F$2)</f>
        <v>15486.107</v>
      </c>
      <c r="L61" s="417">
        <f>+$K61*(1+'Unit tariffs'!$F$2)</f>
        <v>16368.815098999999</v>
      </c>
      <c r="M61" s="417">
        <f>+$L61*(1+'Unit tariffs'!$F$2)</f>
        <v>17301.837559642998</v>
      </c>
      <c r="N61" s="781">
        <f>+$M61*(1+'Unit tariffs'!$F$2)</f>
        <v>18288.042300542649</v>
      </c>
      <c r="O61" s="778"/>
      <c r="P61" s="778"/>
      <c r="Q61" s="778"/>
    </row>
    <row r="62" spans="1:17" x14ac:dyDescent="0.35">
      <c r="A62" s="269"/>
      <c r="B62" s="221"/>
      <c r="C62" s="222"/>
      <c r="D62" s="523"/>
      <c r="E62" s="606"/>
      <c r="F62" s="380"/>
      <c r="G62" s="228"/>
      <c r="H62" s="229"/>
      <c r="I62" s="562"/>
      <c r="J62" s="271"/>
      <c r="K62" s="416"/>
      <c r="L62" s="417"/>
      <c r="M62" s="417"/>
      <c r="N62" s="781"/>
      <c r="O62" s="778"/>
      <c r="P62" s="778"/>
      <c r="Q62" s="778"/>
    </row>
    <row r="63" spans="1:17" ht="25" x14ac:dyDescent="0.35">
      <c r="A63" s="269"/>
      <c r="B63" s="830" t="str">
        <f>'New Conn'!B968</f>
        <v>2.12 Three phase domestic connection in meter box, Split pre-payment meter. (Connection to an erf, where the development costs has been paid [5kVA]).</v>
      </c>
      <c r="C63" s="222" t="str">
        <f>'New Conn'!H968</f>
        <v xml:space="preserve">  [Regional - Urban]</v>
      </c>
      <c r="D63" s="523">
        <f>'New Conn'!H999</f>
        <v>8800</v>
      </c>
      <c r="E63" s="606">
        <f t="shared" si="0"/>
        <v>10120</v>
      </c>
      <c r="F63" s="380">
        <f>'New Conn'!I999</f>
        <v>8800</v>
      </c>
      <c r="G63" s="228">
        <f t="shared" si="1"/>
        <v>-0.13043478260869565</v>
      </c>
      <c r="H63" s="229">
        <f t="shared" si="2"/>
        <v>1320</v>
      </c>
      <c r="I63" s="562">
        <f t="shared" si="3"/>
        <v>10120</v>
      </c>
      <c r="J63" s="271">
        <v>9100033030455</v>
      </c>
      <c r="K63" s="416">
        <f>+$I63*(1+'Unit tariffs'!$F$2)</f>
        <v>10696.84</v>
      </c>
      <c r="L63" s="417">
        <f>+$K63*(1+'Unit tariffs'!$F$2)</f>
        <v>11306.559879999999</v>
      </c>
      <c r="M63" s="417">
        <f>+$L63*(1+'Unit tariffs'!$F$2)</f>
        <v>11951.033793159999</v>
      </c>
      <c r="N63" s="781">
        <f>+$M63*(1+'Unit tariffs'!$F$2)</f>
        <v>12632.242719370119</v>
      </c>
      <c r="O63" s="778"/>
      <c r="P63" s="778"/>
      <c r="Q63" s="778"/>
    </row>
    <row r="64" spans="1:17" x14ac:dyDescent="0.35">
      <c r="A64" s="269"/>
      <c r="B64" s="221"/>
      <c r="C64" s="222"/>
      <c r="D64" s="523"/>
      <c r="E64" s="606"/>
      <c r="F64" s="380"/>
      <c r="G64" s="228"/>
      <c r="H64" s="229"/>
      <c r="I64" s="562"/>
      <c r="J64" s="271"/>
      <c r="K64" s="416"/>
      <c r="L64" s="417"/>
      <c r="M64" s="417"/>
      <c r="N64" s="781"/>
      <c r="O64" s="778"/>
      <c r="P64" s="778"/>
      <c r="Q64" s="778"/>
    </row>
    <row r="65" spans="1:17" ht="25" x14ac:dyDescent="0.35">
      <c r="A65" s="269"/>
      <c r="B65" s="830" t="str">
        <f>'New Conn'!B1005</f>
        <v>2.13  Additional  Meters Urban Area:  1x 3ph  Split pre-paid meter connection- limited up to 500kVA, LV per Erf. If more than one (1) meter is required, a cost estimate will be done.</v>
      </c>
      <c r="C65" s="222" t="str">
        <f>'New Conn'!H1005</f>
        <v xml:space="preserve">  [Urban area]</v>
      </c>
      <c r="D65" s="523">
        <f>'New Conn'!H1031</f>
        <v>3330</v>
      </c>
      <c r="E65" s="606">
        <f t="shared" si="0"/>
        <v>3829.4999999999995</v>
      </c>
      <c r="F65" s="380">
        <f>'New Conn'!I1031</f>
        <v>3330</v>
      </c>
      <c r="G65" s="228">
        <f t="shared" si="1"/>
        <v>-0.13043478260869554</v>
      </c>
      <c r="H65" s="229">
        <f t="shared" si="2"/>
        <v>499.5</v>
      </c>
      <c r="I65" s="562">
        <f t="shared" si="3"/>
        <v>3829.5</v>
      </c>
      <c r="J65" s="271">
        <v>9100033030457</v>
      </c>
      <c r="K65" s="416">
        <f>+$I65*(1+'Unit tariffs'!$F$2)</f>
        <v>4047.7814999999996</v>
      </c>
      <c r="L65" s="417">
        <f>+$K65*(1+'Unit tariffs'!$F$2)</f>
        <v>4278.5050454999991</v>
      </c>
      <c r="M65" s="417">
        <f>+$L65*(1+'Unit tariffs'!$F$2)</f>
        <v>4522.3798330934987</v>
      </c>
      <c r="N65" s="781">
        <f>+$M65*(1+'Unit tariffs'!$F$2)</f>
        <v>4780.1554835798279</v>
      </c>
      <c r="O65" s="778"/>
      <c r="P65" s="778"/>
      <c r="Q65" s="778"/>
    </row>
    <row r="66" spans="1:17" x14ac:dyDescent="0.35">
      <c r="A66" s="269"/>
      <c r="B66" s="221"/>
      <c r="C66" s="222"/>
      <c r="D66" s="523"/>
      <c r="E66" s="606"/>
      <c r="F66" s="380"/>
      <c r="G66" s="228"/>
      <c r="H66" s="229"/>
      <c r="I66" s="562"/>
      <c r="J66" s="271"/>
      <c r="K66" s="416"/>
      <c r="L66" s="417"/>
      <c r="M66" s="417"/>
      <c r="N66" s="781"/>
      <c r="O66" s="778"/>
      <c r="P66" s="778"/>
      <c r="Q66" s="778"/>
    </row>
    <row r="67" spans="1:17" ht="25" x14ac:dyDescent="0.35">
      <c r="A67" s="269"/>
      <c r="B67" s="830" t="str">
        <f>'New Conn'!B1039</f>
        <v>2.14  Additional  Meters Peri-Urban Area:  1x 3ph  Split pre-paid meter connection- limited up to 200kVA, LV per Erf. If more than one (1) meter is required, a cost estimate will be done.</v>
      </c>
      <c r="C67" s="222" t="str">
        <f>'New Conn'!H1039</f>
        <v xml:space="preserve">  [Peri - urban area]</v>
      </c>
      <c r="D67" s="523">
        <f>'New Conn'!H1065</f>
        <v>3330</v>
      </c>
      <c r="E67" s="606">
        <f t="shared" si="0"/>
        <v>3829.4999999999995</v>
      </c>
      <c r="F67" s="380">
        <f>'New Conn'!I1065</f>
        <v>3330</v>
      </c>
      <c r="G67" s="228">
        <f t="shared" si="1"/>
        <v>-0.13043478260869554</v>
      </c>
      <c r="H67" s="229">
        <f t="shared" si="2"/>
        <v>499.5</v>
      </c>
      <c r="I67" s="562">
        <f t="shared" si="3"/>
        <v>3829.5</v>
      </c>
      <c r="J67" s="271">
        <v>9100033030459</v>
      </c>
      <c r="K67" s="416">
        <f>+$I67*(1+'Unit tariffs'!$F$2)</f>
        <v>4047.7814999999996</v>
      </c>
      <c r="L67" s="417">
        <f>+$K67*(1+'Unit tariffs'!$F$2)</f>
        <v>4278.5050454999991</v>
      </c>
      <c r="M67" s="417">
        <f>+$L67*(1+'Unit tariffs'!$F$2)</f>
        <v>4522.3798330934987</v>
      </c>
      <c r="N67" s="781">
        <f>+$M67*(1+'Unit tariffs'!$F$2)</f>
        <v>4780.1554835798279</v>
      </c>
      <c r="O67" s="778"/>
      <c r="P67" s="778"/>
      <c r="Q67" s="778"/>
    </row>
    <row r="68" spans="1:17" x14ac:dyDescent="0.35">
      <c r="A68" s="269"/>
      <c r="B68" s="221"/>
      <c r="C68" s="222"/>
      <c r="D68" s="523"/>
      <c r="E68" s="606"/>
      <c r="F68" s="380"/>
      <c r="G68" s="228"/>
      <c r="H68" s="229"/>
      <c r="I68" s="562"/>
      <c r="J68" s="271"/>
      <c r="K68" s="416"/>
      <c r="L68" s="417"/>
      <c r="M68" s="417"/>
      <c r="N68" s="781"/>
      <c r="O68" s="778"/>
      <c r="P68" s="778"/>
      <c r="Q68" s="778"/>
    </row>
    <row r="69" spans="1:17" ht="37.5" x14ac:dyDescent="0.35">
      <c r="A69" s="269"/>
      <c r="B69" s="830" t="str">
        <f>'New Conn'!B1072</f>
        <v>2.15 Three phase domestic connection (80A) in meter box,  Time of use (TOU) meter :  Connection in meter box placed on stand boundary (Connection to an erf, where the development costs has NOT been paid).</v>
      </c>
      <c r="C69" s="222" t="str">
        <f>'New Conn'!H1072</f>
        <v xml:space="preserve"> [Mangaung - Peri urban]</v>
      </c>
      <c r="D69" s="523">
        <f>'New Conn'!H1104</f>
        <v>41290</v>
      </c>
      <c r="E69" s="606">
        <f t="shared" si="0"/>
        <v>47483.499999999993</v>
      </c>
      <c r="F69" s="380">
        <f>'New Conn'!I1104</f>
        <v>41290</v>
      </c>
      <c r="G69" s="228">
        <f t="shared" si="1"/>
        <v>-0.13043478260869551</v>
      </c>
      <c r="H69" s="229">
        <f t="shared" si="2"/>
        <v>6193.5</v>
      </c>
      <c r="I69" s="562">
        <f t="shared" si="3"/>
        <v>47483.5</v>
      </c>
      <c r="J69" s="271">
        <v>9100033030461</v>
      </c>
      <c r="K69" s="416">
        <f>+$I69*(1+'Unit tariffs'!$F$2)</f>
        <v>50190.059499999996</v>
      </c>
      <c r="L69" s="417">
        <f>+$K69*(1+'Unit tariffs'!$F$2)</f>
        <v>53050.892891499992</v>
      </c>
      <c r="M69" s="417">
        <f>+$L69*(1+'Unit tariffs'!$F$2)</f>
        <v>56074.793786315488</v>
      </c>
      <c r="N69" s="781">
        <f>+$M69*(1+'Unit tariffs'!$F$2)</f>
        <v>59271.057032135468</v>
      </c>
      <c r="O69" s="778"/>
      <c r="P69" s="778"/>
      <c r="Q69" s="778"/>
    </row>
    <row r="70" spans="1:17" x14ac:dyDescent="0.35">
      <c r="A70" s="269"/>
      <c r="B70" s="221"/>
      <c r="C70" s="222"/>
      <c r="D70" s="523"/>
      <c r="E70" s="606"/>
      <c r="F70" s="380"/>
      <c r="G70" s="228"/>
      <c r="H70" s="229"/>
      <c r="I70" s="562"/>
      <c r="J70" s="271"/>
      <c r="K70" s="416"/>
      <c r="L70" s="417"/>
      <c r="M70" s="417"/>
      <c r="N70" s="781"/>
      <c r="O70" s="778"/>
      <c r="P70" s="778"/>
      <c r="Q70" s="778"/>
    </row>
    <row r="71" spans="1:17" ht="37.5" x14ac:dyDescent="0.35">
      <c r="A71" s="269"/>
      <c r="B71" s="830" t="str">
        <f>'New Conn'!B1110</f>
        <v xml:space="preserve">2.16 Three phase domestic connection (80A) in meter box,  Time of use (TOU) meter :  Connection in meter box placed on stand boundary  (Connection to an erf, where the development costs has NOT been paid) .                                 </v>
      </c>
      <c r="C71" s="222" t="str">
        <f>'New Conn'!H1110</f>
        <v xml:space="preserve">  [Regional - Peri urban]</v>
      </c>
      <c r="D71" s="523">
        <f>'New Conn'!H1137</f>
        <v>18740</v>
      </c>
      <c r="E71" s="606">
        <f t="shared" si="0"/>
        <v>21551</v>
      </c>
      <c r="F71" s="380">
        <f>'New Conn'!I1137</f>
        <v>17660</v>
      </c>
      <c r="G71" s="228">
        <f t="shared" si="1"/>
        <v>-0.180548466428472</v>
      </c>
      <c r="H71" s="229">
        <f t="shared" si="2"/>
        <v>2649</v>
      </c>
      <c r="I71" s="562">
        <f t="shared" si="3"/>
        <v>20309</v>
      </c>
      <c r="J71" s="271">
        <v>9100033030463</v>
      </c>
      <c r="K71" s="416">
        <f>+$I71*(1+'Unit tariffs'!$F$2)</f>
        <v>21466.612999999998</v>
      </c>
      <c r="L71" s="417">
        <f>+$K71*(1+'Unit tariffs'!$F$2)</f>
        <v>22690.209940999997</v>
      </c>
      <c r="M71" s="417">
        <f>+$L71*(1+'Unit tariffs'!$F$2)</f>
        <v>23983.551907636996</v>
      </c>
      <c r="N71" s="781">
        <f>+$M71*(1+'Unit tariffs'!$F$2)</f>
        <v>25350.614366372305</v>
      </c>
      <c r="O71" s="778"/>
      <c r="P71" s="778"/>
      <c r="Q71" s="778"/>
    </row>
    <row r="72" spans="1:17" x14ac:dyDescent="0.35">
      <c r="A72" s="269"/>
      <c r="B72" s="221"/>
      <c r="C72" s="222"/>
      <c r="D72" s="523"/>
      <c r="E72" s="606"/>
      <c r="F72" s="380"/>
      <c r="G72" s="228"/>
      <c r="H72" s="229"/>
      <c r="I72" s="562"/>
      <c r="J72" s="271"/>
      <c r="K72" s="416"/>
      <c r="L72" s="417"/>
      <c r="M72" s="417"/>
      <c r="N72" s="781"/>
      <c r="O72" s="778"/>
      <c r="P72" s="778"/>
      <c r="Q72" s="778"/>
    </row>
    <row r="73" spans="1:17" ht="37.5" x14ac:dyDescent="0.35">
      <c r="A73" s="269"/>
      <c r="B73" s="830" t="str">
        <f>'New Conn'!B1145</f>
        <v>2.17 SSEG Three phase domestic connection (80A) in meter box,  Time of use (TOU) meter :  Connection in meter box placed on stand boundary . (Connection to an erf, where the development costs has NOT been paid).</v>
      </c>
      <c r="C73" s="222" t="str">
        <f>'New Conn'!H1145</f>
        <v xml:space="preserve"> [Mangaung - Peri urban]</v>
      </c>
      <c r="D73" s="523">
        <f>'New Conn'!H1179</f>
        <v>41290</v>
      </c>
      <c r="E73" s="606">
        <f t="shared" si="0"/>
        <v>47483.499999999993</v>
      </c>
      <c r="F73" s="380">
        <f>'New Conn'!I1179</f>
        <v>41290</v>
      </c>
      <c r="G73" s="228">
        <f t="shared" si="1"/>
        <v>-0.13043478260869551</v>
      </c>
      <c r="H73" s="229">
        <f t="shared" si="2"/>
        <v>6193.5</v>
      </c>
      <c r="I73" s="562">
        <f t="shared" si="3"/>
        <v>47483.5</v>
      </c>
      <c r="J73" s="271">
        <v>9100033030465</v>
      </c>
      <c r="K73" s="416">
        <f>+$I73*(1+'Unit tariffs'!$F$2)</f>
        <v>50190.059499999996</v>
      </c>
      <c r="L73" s="417">
        <f>+$K73*(1+'Unit tariffs'!$F$2)</f>
        <v>53050.892891499992</v>
      </c>
      <c r="M73" s="417">
        <f>+$L73*(1+'Unit tariffs'!$F$2)</f>
        <v>56074.793786315488</v>
      </c>
      <c r="N73" s="781">
        <f>+$M73*(1+'Unit tariffs'!$F$2)</f>
        <v>59271.057032135468</v>
      </c>
      <c r="O73" s="778"/>
      <c r="P73" s="778"/>
      <c r="Q73" s="778"/>
    </row>
    <row r="74" spans="1:17" x14ac:dyDescent="0.35">
      <c r="A74" s="269"/>
      <c r="B74" s="221"/>
      <c r="C74" s="222"/>
      <c r="D74" s="523"/>
      <c r="E74" s="606"/>
      <c r="F74" s="380"/>
      <c r="G74" s="228"/>
      <c r="H74" s="229"/>
      <c r="I74" s="562"/>
      <c r="J74" s="271"/>
      <c r="K74" s="416"/>
      <c r="L74" s="417"/>
      <c r="M74" s="417"/>
      <c r="N74" s="781"/>
      <c r="O74" s="778"/>
      <c r="P74" s="778"/>
      <c r="Q74" s="778"/>
    </row>
    <row r="75" spans="1:17" ht="37.5" x14ac:dyDescent="0.35">
      <c r="A75" s="269"/>
      <c r="B75" s="830" t="str">
        <f>'New Conn'!B1185</f>
        <v xml:space="preserve">2.18 SSEG Three phase domestic connection (80A) in meter box,  Time of use (TOU) meter :  Connection in meter box placed on stand boundary taken from (Connection to an erf, where the development costs has NOT been paid).                                    </v>
      </c>
      <c r="C75" s="222" t="str">
        <f>'New Conn'!H1185</f>
        <v xml:space="preserve">  [Regional -  Peri urban area]</v>
      </c>
      <c r="D75" s="523">
        <f>'New Conn'!H1212</f>
        <v>18740</v>
      </c>
      <c r="E75" s="606">
        <f t="shared" si="0"/>
        <v>21551</v>
      </c>
      <c r="F75" s="380">
        <f>'New Conn'!I1212</f>
        <v>17660</v>
      </c>
      <c r="G75" s="228">
        <f t="shared" si="1"/>
        <v>-0.180548466428472</v>
      </c>
      <c r="H75" s="229">
        <f t="shared" si="2"/>
        <v>2649</v>
      </c>
      <c r="I75" s="562">
        <f t="shared" si="3"/>
        <v>20309</v>
      </c>
      <c r="J75" s="271">
        <v>9100033030467</v>
      </c>
      <c r="K75" s="416">
        <f>+$I75*(1+'Unit tariffs'!$F$2)</f>
        <v>21466.612999999998</v>
      </c>
      <c r="L75" s="417">
        <f>+$K75*(1+'Unit tariffs'!$F$2)</f>
        <v>22690.209940999997</v>
      </c>
      <c r="M75" s="417">
        <f>+$L75*(1+'Unit tariffs'!$F$2)</f>
        <v>23983.551907636996</v>
      </c>
      <c r="N75" s="781">
        <f>+$M75*(1+'Unit tariffs'!$F$2)</f>
        <v>25350.614366372305</v>
      </c>
      <c r="O75" s="778"/>
      <c r="P75" s="778"/>
      <c r="Q75" s="778"/>
    </row>
    <row r="76" spans="1:17" x14ac:dyDescent="0.35">
      <c r="A76" s="269"/>
      <c r="B76" s="221"/>
      <c r="C76" s="222"/>
      <c r="D76" s="523"/>
      <c r="E76" s="606"/>
      <c r="F76" s="380"/>
      <c r="G76" s="228"/>
      <c r="H76" s="229"/>
      <c r="I76" s="562"/>
      <c r="J76" s="271"/>
      <c r="K76" s="416"/>
      <c r="L76" s="417"/>
      <c r="M76" s="417"/>
      <c r="N76" s="781"/>
      <c r="O76" s="778"/>
      <c r="P76" s="778"/>
      <c r="Q76" s="778"/>
    </row>
    <row r="77" spans="1:17" ht="26" x14ac:dyDescent="0.35">
      <c r="A77" s="269"/>
      <c r="B77" s="706" t="str">
        <f>'New Conn'!B1217</f>
        <v>2.19 Three phase domestic connection in meter box, Split pre-payment meter (Connection to an erf, where the development costs has NOT been paid)</v>
      </c>
      <c r="C77" s="222" t="str">
        <f>'New Conn'!H1217</f>
        <v xml:space="preserve">  [Mangaung - Peri urban]</v>
      </c>
      <c r="D77" s="523">
        <f>'New Conn'!H1252</f>
        <v>44500</v>
      </c>
      <c r="E77" s="606">
        <f t="shared" ref="E77:E138" si="4">D77*1.15</f>
        <v>51174.999999999993</v>
      </c>
      <c r="F77" s="380">
        <f>'New Conn'!I1252</f>
        <v>44500</v>
      </c>
      <c r="G77" s="228">
        <f t="shared" si="1"/>
        <v>-0.13043478260869554</v>
      </c>
      <c r="H77" s="229">
        <f t="shared" si="2"/>
        <v>6675</v>
      </c>
      <c r="I77" s="562">
        <f t="shared" si="3"/>
        <v>51175</v>
      </c>
      <c r="J77" s="271">
        <v>9100033030469</v>
      </c>
      <c r="K77" s="416">
        <f>+$I77*(1+'Unit tariffs'!$F$2)</f>
        <v>54091.974999999999</v>
      </c>
      <c r="L77" s="417">
        <f>+$K77*(1+'Unit tariffs'!$F$2)</f>
        <v>57175.217574999995</v>
      </c>
      <c r="M77" s="417">
        <f>+$L77*(1+'Unit tariffs'!$F$2)</f>
        <v>60434.204976774992</v>
      </c>
      <c r="N77" s="781">
        <f>+$M77*(1+'Unit tariffs'!$F$2)</f>
        <v>63878.954660451163</v>
      </c>
      <c r="O77" s="778"/>
      <c r="P77" s="778"/>
      <c r="Q77" s="778"/>
    </row>
    <row r="78" spans="1:17" x14ac:dyDescent="0.35">
      <c r="A78" s="269"/>
      <c r="B78" s="221"/>
      <c r="C78" s="222"/>
      <c r="D78" s="523"/>
      <c r="E78" s="606"/>
      <c r="F78" s="380"/>
      <c r="G78" s="228"/>
      <c r="H78" s="229"/>
      <c r="I78" s="562"/>
      <c r="J78" s="271"/>
      <c r="K78" s="416"/>
      <c r="L78" s="417"/>
      <c r="M78" s="417"/>
      <c r="N78" s="781"/>
      <c r="O78" s="778"/>
      <c r="P78" s="778"/>
      <c r="Q78" s="778"/>
    </row>
    <row r="79" spans="1:17" ht="25" x14ac:dyDescent="0.35">
      <c r="A79" s="269"/>
      <c r="B79" s="830" t="str">
        <f>'New Conn'!B1259</f>
        <v>2.20 Three phase domestic connection in meter box, Split pre-payment meter. (Connection to an erf, where the development costs has NOT been paid)</v>
      </c>
      <c r="C79" s="222" t="str">
        <f>'New Conn'!H1259</f>
        <v xml:space="preserve">  [Regional - Peri urban]</v>
      </c>
      <c r="D79" s="523">
        <f>'New Conn'!H1290</f>
        <v>32650</v>
      </c>
      <c r="E79" s="606">
        <f t="shared" si="4"/>
        <v>37547.5</v>
      </c>
      <c r="F79" s="380">
        <f>'New Conn'!I1290</f>
        <v>32650</v>
      </c>
      <c r="G79" s="228">
        <f t="shared" si="1"/>
        <v>-0.13043478260869565</v>
      </c>
      <c r="H79" s="229">
        <f t="shared" si="2"/>
        <v>4897.5</v>
      </c>
      <c r="I79" s="562">
        <f t="shared" si="3"/>
        <v>37547.5</v>
      </c>
      <c r="J79" s="271">
        <v>9100033030471</v>
      </c>
      <c r="K79" s="416">
        <f>+$I79*(1+'Unit tariffs'!$F$2)</f>
        <v>39687.707499999997</v>
      </c>
      <c r="L79" s="417">
        <f>+$K79*(1+'Unit tariffs'!$F$2)</f>
        <v>41949.906827499995</v>
      </c>
      <c r="M79" s="417">
        <f>+$L79*(1+'Unit tariffs'!$F$2)</f>
        <v>44341.051516667496</v>
      </c>
      <c r="N79" s="781">
        <f>+$M79*(1+'Unit tariffs'!$F$2)</f>
        <v>46868.491453117538</v>
      </c>
      <c r="O79" s="778"/>
      <c r="P79" s="778"/>
      <c r="Q79" s="778"/>
    </row>
    <row r="80" spans="1:17" x14ac:dyDescent="0.35">
      <c r="A80" s="269"/>
      <c r="B80" s="221"/>
      <c r="C80" s="222"/>
      <c r="D80" s="523"/>
      <c r="E80" s="606"/>
      <c r="F80" s="380"/>
      <c r="G80" s="228"/>
      <c r="H80" s="229"/>
      <c r="I80" s="562"/>
      <c r="J80" s="271"/>
      <c r="K80" s="416"/>
      <c r="L80" s="417"/>
      <c r="M80" s="417"/>
      <c r="N80" s="781"/>
      <c r="O80" s="778"/>
      <c r="P80" s="778"/>
      <c r="Q80" s="778"/>
    </row>
    <row r="81" spans="1:17" ht="37.5" x14ac:dyDescent="0.35">
      <c r="A81" s="269"/>
      <c r="B81" s="830" t="str">
        <f>'New Conn'!B1293</f>
        <v>2.21 Three phase domestic connection (80A) in meter box,  Time of use (TOU) meter :  Connection in meter box placed on stand boundary (Connection to an erf, where the development costs has been paid [5kVA]).</v>
      </c>
      <c r="C81" s="222" t="str">
        <f>'New Conn'!H1293</f>
        <v xml:space="preserve"> [Mangaung - Peri urban]</v>
      </c>
      <c r="D81" s="523">
        <f>'New Conn'!H1327</f>
        <v>15850</v>
      </c>
      <c r="E81" s="606">
        <f t="shared" si="4"/>
        <v>18227.5</v>
      </c>
      <c r="F81" s="380">
        <f>'New Conn'!I1327</f>
        <v>15850</v>
      </c>
      <c r="G81" s="228">
        <f t="shared" si="1"/>
        <v>-0.13043478260869565</v>
      </c>
      <c r="H81" s="229">
        <f t="shared" si="2"/>
        <v>2377.5</v>
      </c>
      <c r="I81" s="562">
        <f t="shared" si="3"/>
        <v>18227.5</v>
      </c>
      <c r="J81" s="271">
        <v>9100033030473</v>
      </c>
      <c r="K81" s="416">
        <f>+$I81*(1+'Unit tariffs'!$F$2)</f>
        <v>19266.467499999999</v>
      </c>
      <c r="L81" s="417">
        <f>+$K81*(1+'Unit tariffs'!$F$2)</f>
        <v>20364.656147499998</v>
      </c>
      <c r="M81" s="417">
        <f>+$L81*(1+'Unit tariffs'!$F$2)</f>
        <v>21525.441547907496</v>
      </c>
      <c r="N81" s="781">
        <f>+$M81*(1+'Unit tariffs'!$F$2)</f>
        <v>22752.391716138223</v>
      </c>
      <c r="O81" s="778"/>
      <c r="P81" s="778"/>
      <c r="Q81" s="778"/>
    </row>
    <row r="82" spans="1:17" x14ac:dyDescent="0.35">
      <c r="A82" s="269"/>
      <c r="B82" s="221"/>
      <c r="C82" s="222"/>
      <c r="D82" s="523"/>
      <c r="E82" s="606"/>
      <c r="F82" s="380"/>
      <c r="G82" s="228"/>
      <c r="H82" s="229"/>
      <c r="I82" s="562"/>
      <c r="J82" s="271"/>
      <c r="K82" s="416"/>
      <c r="L82" s="417"/>
      <c r="M82" s="417"/>
      <c r="N82" s="781"/>
      <c r="O82" s="778"/>
      <c r="P82" s="778"/>
      <c r="Q82" s="778"/>
    </row>
    <row r="83" spans="1:17" ht="37.5" x14ac:dyDescent="0.35">
      <c r="A83" s="269"/>
      <c r="B83" s="830" t="str">
        <f>'New Conn'!B1333</f>
        <v xml:space="preserve">2.22 Three phase domestic connection (80A) in meter box,  Time of use (TOU) meter :  Connection in meter box placed on stand boundary  (Connection to an erf, where the development costs has been paid [5kVA]).                                 </v>
      </c>
      <c r="C83" s="222" t="str">
        <f>'New Conn'!H1333</f>
        <v xml:space="preserve">  [Regional - Peri urban]</v>
      </c>
      <c r="D83" s="523">
        <f>'New Conn'!H1360</f>
        <v>13070</v>
      </c>
      <c r="E83" s="606">
        <f t="shared" si="4"/>
        <v>15030.499999999998</v>
      </c>
      <c r="F83" s="380">
        <f>'New Conn'!I1360</f>
        <v>11990</v>
      </c>
      <c r="G83" s="228">
        <f t="shared" si="1"/>
        <v>-0.20228867968464112</v>
      </c>
      <c r="H83" s="229">
        <f t="shared" si="2"/>
        <v>1798.5</v>
      </c>
      <c r="I83" s="562">
        <f t="shared" si="3"/>
        <v>13788.5</v>
      </c>
      <c r="J83" s="271">
        <v>9100033030475</v>
      </c>
      <c r="K83" s="416">
        <f>+$I83*(1+'Unit tariffs'!$F$2)</f>
        <v>14574.4445</v>
      </c>
      <c r="L83" s="417">
        <f>+$K83*(1+'Unit tariffs'!$F$2)</f>
        <v>15405.187836499999</v>
      </c>
      <c r="M83" s="417">
        <f>+$L83*(1+'Unit tariffs'!$F$2)</f>
        <v>16283.283543180498</v>
      </c>
      <c r="N83" s="781">
        <f>+$M83*(1+'Unit tariffs'!$F$2)</f>
        <v>17211.430705141785</v>
      </c>
      <c r="O83" s="778"/>
      <c r="P83" s="778"/>
      <c r="Q83" s="778"/>
    </row>
    <row r="84" spans="1:17" x14ac:dyDescent="0.35">
      <c r="A84" s="269"/>
      <c r="B84" s="221"/>
      <c r="C84" s="222"/>
      <c r="D84" s="523"/>
      <c r="E84" s="606"/>
      <c r="F84" s="380"/>
      <c r="G84" s="228"/>
      <c r="H84" s="229"/>
      <c r="I84" s="562"/>
      <c r="J84" s="271"/>
      <c r="K84" s="416"/>
      <c r="L84" s="417"/>
      <c r="M84" s="417"/>
      <c r="N84" s="781"/>
      <c r="O84" s="778"/>
      <c r="P84" s="778"/>
      <c r="Q84" s="778"/>
    </row>
    <row r="85" spans="1:17" ht="37.5" x14ac:dyDescent="0.35">
      <c r="A85" s="269"/>
      <c r="B85" s="830" t="str">
        <f>'New Conn'!B1368</f>
        <v>2.23 SSEG Three phase domestic connection (80A) in meter box,  Time of use (TOU) meter :  Connection in meter box placed on stand boundary . (Connection to an erf, where the development costs has been paid [5kVA]).</v>
      </c>
      <c r="C85" s="222" t="str">
        <f>'New Conn'!H1368</f>
        <v xml:space="preserve"> [Mangaung - Peri urban]</v>
      </c>
      <c r="D85" s="523">
        <f>'New Conn'!H1402</f>
        <v>15850</v>
      </c>
      <c r="E85" s="606">
        <f t="shared" si="4"/>
        <v>18227.5</v>
      </c>
      <c r="F85" s="380">
        <f>'New Conn'!I1402</f>
        <v>15850</v>
      </c>
      <c r="G85" s="228">
        <f t="shared" si="1"/>
        <v>-0.13043478260869565</v>
      </c>
      <c r="H85" s="229">
        <f t="shared" si="2"/>
        <v>2377.5</v>
      </c>
      <c r="I85" s="562">
        <f t="shared" si="3"/>
        <v>18227.5</v>
      </c>
      <c r="J85" s="271">
        <v>9100033030477</v>
      </c>
      <c r="K85" s="416">
        <f>+$I85*(1+'Unit tariffs'!$F$2)</f>
        <v>19266.467499999999</v>
      </c>
      <c r="L85" s="417">
        <f>+$K85*(1+'Unit tariffs'!$F$2)</f>
        <v>20364.656147499998</v>
      </c>
      <c r="M85" s="417">
        <f>+$L85*(1+'Unit tariffs'!$F$2)</f>
        <v>21525.441547907496</v>
      </c>
      <c r="N85" s="781">
        <f>+$M85*(1+'Unit tariffs'!$F$2)</f>
        <v>22752.391716138223</v>
      </c>
      <c r="O85" s="778"/>
      <c r="P85" s="778"/>
      <c r="Q85" s="778"/>
    </row>
    <row r="86" spans="1:17" x14ac:dyDescent="0.35">
      <c r="A86" s="269"/>
      <c r="B86" s="221"/>
      <c r="C86" s="222"/>
      <c r="D86" s="523"/>
      <c r="E86" s="606"/>
      <c r="F86" s="380"/>
      <c r="G86" s="228"/>
      <c r="H86" s="229"/>
      <c r="I86" s="562"/>
      <c r="J86" s="271"/>
      <c r="K86" s="416"/>
      <c r="L86" s="417"/>
      <c r="M86" s="417"/>
      <c r="N86" s="781"/>
      <c r="O86" s="778"/>
      <c r="P86" s="778"/>
      <c r="Q86" s="778"/>
    </row>
    <row r="87" spans="1:17" ht="37.5" x14ac:dyDescent="0.35">
      <c r="A87" s="269"/>
      <c r="B87" s="830" t="str">
        <f>'New Conn'!B1408</f>
        <v xml:space="preserve">2.24 SSEG Three phase domestic connection (80A) in meter box,  Time of use (TOU) meter :  Connection in meter box placed on stand boundary taken from (Connection to an erf, where the development costs has been paid [5kVA]).                                    </v>
      </c>
      <c r="C87" s="222" t="str">
        <f>'New Conn'!H1408</f>
        <v xml:space="preserve">  [Regional -  Peri urban area]</v>
      </c>
      <c r="D87" s="523">
        <f>'New Conn'!H1435</f>
        <v>13070</v>
      </c>
      <c r="E87" s="606">
        <f t="shared" si="4"/>
        <v>15030.499999999998</v>
      </c>
      <c r="F87" s="380">
        <f>'New Conn'!I1435</f>
        <v>11990</v>
      </c>
      <c r="G87" s="228">
        <f t="shared" si="1"/>
        <v>-0.20228867968464112</v>
      </c>
      <c r="H87" s="229">
        <f t="shared" si="2"/>
        <v>1798.5</v>
      </c>
      <c r="I87" s="562">
        <f t="shared" si="3"/>
        <v>13788.5</v>
      </c>
      <c r="J87" s="271">
        <v>9100033030479</v>
      </c>
      <c r="K87" s="416">
        <f>+$I87*(1+'Unit tariffs'!$F$2)</f>
        <v>14574.4445</v>
      </c>
      <c r="L87" s="417">
        <f>+$K87*(1+'Unit tariffs'!$F$2)</f>
        <v>15405.187836499999</v>
      </c>
      <c r="M87" s="417">
        <f>+$L87*(1+'Unit tariffs'!$F$2)</f>
        <v>16283.283543180498</v>
      </c>
      <c r="N87" s="781">
        <f>+$M87*(1+'Unit tariffs'!$F$2)</f>
        <v>17211.430705141785</v>
      </c>
      <c r="O87" s="778"/>
      <c r="P87" s="778"/>
      <c r="Q87" s="778"/>
    </row>
    <row r="88" spans="1:17" x14ac:dyDescent="0.35">
      <c r="A88" s="269"/>
      <c r="B88" s="221"/>
      <c r="C88" s="222"/>
      <c r="D88" s="523"/>
      <c r="E88" s="606"/>
      <c r="F88" s="380"/>
      <c r="G88" s="228"/>
      <c r="H88" s="229"/>
      <c r="I88" s="562"/>
      <c r="J88" s="271"/>
      <c r="K88" s="416"/>
      <c r="L88" s="417"/>
      <c r="M88" s="417"/>
      <c r="N88" s="781"/>
      <c r="O88" s="778"/>
      <c r="P88" s="778"/>
      <c r="Q88" s="778"/>
    </row>
    <row r="89" spans="1:17" ht="25" x14ac:dyDescent="0.35">
      <c r="A89" s="269"/>
      <c r="B89" s="830" t="str">
        <f>'New Conn'!B1440</f>
        <v>2.25 Three phase domestic connection in meter box, Split pre-payment meter (Connection to an erf, where the development costs has been paid [5kVA]).</v>
      </c>
      <c r="C89" s="222" t="str">
        <f>'New Conn'!H1440</f>
        <v xml:space="preserve">  [Mangaung - Peri urban]</v>
      </c>
      <c r="D89" s="523">
        <f>'New Conn'!H1475</f>
        <v>19060</v>
      </c>
      <c r="E89" s="606">
        <f t="shared" si="4"/>
        <v>21919</v>
      </c>
      <c r="F89" s="380">
        <f>'New Conn'!I1475</f>
        <v>19060</v>
      </c>
      <c r="G89" s="228">
        <f t="shared" ref="G89:G147" si="5">(F89-E89)/E89</f>
        <v>-0.13043478260869565</v>
      </c>
      <c r="H89" s="229">
        <f t="shared" ref="H89:H147" si="6">F89*H$3</f>
        <v>2859</v>
      </c>
      <c r="I89" s="562">
        <f t="shared" ref="I89:I147" si="7">F89+H89</f>
        <v>21919</v>
      </c>
      <c r="J89" s="271">
        <v>9100033030481</v>
      </c>
      <c r="K89" s="416">
        <f>+$I89*(1+'Unit tariffs'!$F$2)</f>
        <v>23168.382999999998</v>
      </c>
      <c r="L89" s="417">
        <f>+$K89*(1+'Unit tariffs'!$F$2)</f>
        <v>24488.980830999997</v>
      </c>
      <c r="M89" s="417">
        <f>+$L89*(1+'Unit tariffs'!$F$2)</f>
        <v>25884.852738366997</v>
      </c>
      <c r="N89" s="781">
        <f>+$M89*(1+'Unit tariffs'!$F$2)</f>
        <v>27360.289344453915</v>
      </c>
      <c r="O89" s="778"/>
      <c r="P89" s="778"/>
      <c r="Q89" s="778"/>
    </row>
    <row r="90" spans="1:17" x14ac:dyDescent="0.35">
      <c r="A90" s="269"/>
      <c r="B90" s="221"/>
      <c r="C90" s="222"/>
      <c r="D90" s="523"/>
      <c r="E90" s="606"/>
      <c r="F90" s="380"/>
      <c r="G90" s="228"/>
      <c r="H90" s="229"/>
      <c r="I90" s="562"/>
      <c r="J90" s="271"/>
      <c r="K90" s="416"/>
      <c r="L90" s="417"/>
      <c r="M90" s="417"/>
      <c r="N90" s="781"/>
      <c r="O90" s="778"/>
      <c r="P90" s="778"/>
      <c r="Q90" s="778"/>
    </row>
    <row r="91" spans="1:17" ht="25" x14ac:dyDescent="0.35">
      <c r="A91" s="269"/>
      <c r="B91" s="830" t="str">
        <f>'New Conn'!B1482</f>
        <v>2.26 Three phase domestic connection in meter box, Split pre-payment meter. (Connection to an erf, where the development costs has been paid [5kVA]).</v>
      </c>
      <c r="C91" s="222" t="str">
        <f>'New Conn'!H1482</f>
        <v xml:space="preserve">  [Regional - Peri urban]</v>
      </c>
      <c r="D91" s="523">
        <f>'New Conn'!H1512</f>
        <v>11190</v>
      </c>
      <c r="E91" s="606">
        <f t="shared" si="4"/>
        <v>12868.499999999998</v>
      </c>
      <c r="F91" s="380">
        <f>'New Conn'!I1512</f>
        <v>11190</v>
      </c>
      <c r="G91" s="228">
        <f t="shared" si="5"/>
        <v>-0.13043478260869554</v>
      </c>
      <c r="H91" s="229">
        <f t="shared" si="6"/>
        <v>1678.5</v>
      </c>
      <c r="I91" s="562">
        <f t="shared" si="7"/>
        <v>12868.5</v>
      </c>
      <c r="J91" s="271">
        <v>9100033030483</v>
      </c>
      <c r="K91" s="416">
        <f>+$I91*(1+'Unit tariffs'!$F$2)</f>
        <v>13602.004499999999</v>
      </c>
      <c r="L91" s="417">
        <f>+$K91*(1+'Unit tariffs'!$F$2)</f>
        <v>14377.318756499999</v>
      </c>
      <c r="M91" s="417">
        <f>+$L91*(1+'Unit tariffs'!$F$2)</f>
        <v>15196.825925620498</v>
      </c>
      <c r="N91" s="781">
        <f>+$M91*(1+'Unit tariffs'!$F$2)</f>
        <v>16063.045003380867</v>
      </c>
      <c r="O91" s="778"/>
      <c r="P91" s="778"/>
      <c r="Q91" s="778"/>
    </row>
    <row r="92" spans="1:17" ht="15" thickBot="1" x14ac:dyDescent="0.4">
      <c r="A92" s="269"/>
      <c r="B92" s="221"/>
      <c r="C92" s="222"/>
      <c r="D92" s="523"/>
      <c r="E92" s="606"/>
      <c r="F92" s="380"/>
      <c r="G92" s="228"/>
      <c r="H92" s="229"/>
      <c r="I92" s="562"/>
      <c r="J92" s="271"/>
      <c r="K92" s="416"/>
      <c r="L92" s="417"/>
      <c r="M92" s="417"/>
      <c r="N92" s="781"/>
      <c r="O92" s="778"/>
      <c r="P92" s="778"/>
      <c r="Q92" s="778"/>
    </row>
    <row r="93" spans="1:17" ht="15.5" x14ac:dyDescent="0.35">
      <c r="A93" s="396"/>
      <c r="B93" s="262" t="str">
        <f>+B1</f>
        <v>CENTLEC : ELECTRICITY SERVICES COSTS FOR MANGAUNG METRO</v>
      </c>
      <c r="C93" s="263"/>
      <c r="D93" s="529"/>
      <c r="E93" s="606"/>
      <c r="F93" s="370" t="s">
        <v>74</v>
      </c>
      <c r="G93" s="228"/>
      <c r="H93" s="229"/>
      <c r="I93" s="562"/>
      <c r="J93" s="271"/>
      <c r="K93" s="416"/>
      <c r="L93" s="417"/>
      <c r="M93" s="417"/>
      <c r="N93" s="781"/>
      <c r="O93" s="778"/>
      <c r="P93" s="778"/>
      <c r="Q93" s="778"/>
    </row>
    <row r="94" spans="1:17" ht="15.5" x14ac:dyDescent="0.35">
      <c r="A94" s="396"/>
      <c r="B94" s="404"/>
      <c r="C94" s="304"/>
      <c r="D94" s="530"/>
      <c r="E94" s="606"/>
      <c r="F94" s="308" t="s">
        <v>318</v>
      </c>
      <c r="G94" s="228"/>
      <c r="H94" s="229"/>
      <c r="I94" s="562"/>
      <c r="J94" s="271"/>
      <c r="K94" s="416"/>
      <c r="L94" s="417"/>
      <c r="M94" s="417"/>
      <c r="N94" s="781"/>
      <c r="O94" s="778"/>
      <c r="P94" s="778"/>
      <c r="Q94" s="778"/>
    </row>
    <row r="95" spans="1:17" ht="15.5" x14ac:dyDescent="0.35">
      <c r="A95" s="396"/>
      <c r="B95" s="404" t="str">
        <f>'Temp Conn'!B2</f>
        <v xml:space="preserve">3. TEMPORARY CONNECTIONS - MAXIMUM PERIOD OF 12 MONTHS </v>
      </c>
      <c r="C95" s="226"/>
      <c r="D95" s="531"/>
      <c r="E95" s="606"/>
      <c r="F95" s="224"/>
      <c r="G95" s="228"/>
      <c r="H95" s="229"/>
      <c r="I95" s="562"/>
      <c r="J95" s="271"/>
      <c r="K95" s="416"/>
      <c r="L95" s="417"/>
      <c r="M95" s="417"/>
      <c r="N95" s="781"/>
      <c r="O95" s="778"/>
      <c r="P95" s="778"/>
      <c r="Q95" s="778"/>
    </row>
    <row r="96" spans="1:17" ht="26" x14ac:dyDescent="0.35">
      <c r="A96" s="269"/>
      <c r="B96" s="514" t="s">
        <v>623</v>
      </c>
      <c r="C96" s="222"/>
      <c r="D96" s="533"/>
      <c r="E96" s="606"/>
      <c r="F96" s="384"/>
      <c r="G96" s="228"/>
      <c r="H96" s="229"/>
      <c r="I96" s="562"/>
      <c r="J96" s="271"/>
      <c r="K96" s="416"/>
      <c r="L96" s="417"/>
      <c r="M96" s="417"/>
      <c r="N96" s="781"/>
      <c r="O96" s="779"/>
      <c r="P96" s="779"/>
      <c r="Q96" s="779"/>
    </row>
    <row r="97" spans="1:17" x14ac:dyDescent="0.35">
      <c r="A97" s="269"/>
      <c r="B97" s="221"/>
      <c r="C97" s="222"/>
      <c r="D97" s="521"/>
      <c r="E97" s="606"/>
      <c r="F97" s="379"/>
      <c r="G97" s="228"/>
      <c r="H97" s="229"/>
      <c r="I97" s="562"/>
      <c r="J97" s="271"/>
      <c r="K97" s="416"/>
      <c r="L97" s="417"/>
      <c r="M97" s="417"/>
      <c r="N97" s="781"/>
      <c r="O97" s="793"/>
      <c r="P97" s="779"/>
      <c r="Q97" s="779"/>
    </row>
    <row r="98" spans="1:17" x14ac:dyDescent="0.35">
      <c r="A98" s="269"/>
      <c r="B98" s="221" t="str">
        <f>'Temp Conn'!B2</f>
        <v xml:space="preserve">3. TEMPORARY CONNECTIONS - MAXIMUM PERIOD OF 12 MONTHS </v>
      </c>
      <c r="C98" s="222"/>
      <c r="D98" s="521"/>
      <c r="E98" s="606"/>
      <c r="F98" s="379"/>
      <c r="G98" s="228"/>
      <c r="H98" s="229"/>
      <c r="I98" s="562"/>
      <c r="J98" s="271"/>
      <c r="K98" s="416"/>
      <c r="L98" s="417"/>
      <c r="M98" s="417"/>
      <c r="N98" s="781"/>
      <c r="O98" s="778"/>
      <c r="P98" s="778"/>
      <c r="Q98" s="778"/>
    </row>
    <row r="99" spans="1:17" x14ac:dyDescent="0.35">
      <c r="A99" s="269"/>
      <c r="B99" s="221"/>
      <c r="C99" s="688"/>
      <c r="D99" s="521"/>
      <c r="E99" s="606"/>
      <c r="F99" s="380"/>
      <c r="G99" s="228"/>
      <c r="H99" s="229"/>
      <c r="I99" s="562"/>
      <c r="J99" s="271"/>
      <c r="K99" s="416"/>
      <c r="L99" s="417"/>
      <c r="M99" s="417"/>
      <c r="N99" s="781"/>
      <c r="O99" s="779"/>
      <c r="P99" s="779"/>
      <c r="Q99" s="779"/>
    </row>
    <row r="100" spans="1:17" ht="38.5" x14ac:dyDescent="0.35">
      <c r="A100" s="269"/>
      <c r="B100" s="221" t="str">
        <f>'Temp Conn'!B4</f>
        <v>3.1 Temporary BUILDERS underground connection - Three phase 80 Ampère Prepaid meter only.  Please note: These connections would only be permitted  for a maximum period of 12 months after which it will be removed by CENTLEC. (Where a trench is not longer than 12m)</v>
      </c>
      <c r="C100" s="688"/>
      <c r="D100" s="521">
        <f>'Temp Conn'!H42</f>
        <v>27870</v>
      </c>
      <c r="E100" s="606">
        <f t="shared" si="4"/>
        <v>32050.499999999996</v>
      </c>
      <c r="F100" s="380">
        <f>'Temp Conn'!I42</f>
        <v>30220</v>
      </c>
      <c r="G100" s="228">
        <f t="shared" si="5"/>
        <v>-5.7112993557042684E-2</v>
      </c>
      <c r="H100" s="229">
        <f t="shared" si="6"/>
        <v>4533</v>
      </c>
      <c r="I100" s="562">
        <f t="shared" si="7"/>
        <v>34753</v>
      </c>
      <c r="J100" s="271">
        <v>9100033030492</v>
      </c>
      <c r="K100" s="416">
        <f>+$I100*(1+'Unit tariffs'!$F$2)</f>
        <v>36733.920999999995</v>
      </c>
      <c r="L100" s="417">
        <f>+$K100*(1+'Unit tariffs'!$F$2)</f>
        <v>38827.754496999994</v>
      </c>
      <c r="M100" s="417">
        <f>+$L100*(1+'Unit tariffs'!$F$2)</f>
        <v>41040.936503328994</v>
      </c>
      <c r="N100" s="781">
        <f>+$M100*(1+'Unit tariffs'!$F$2)</f>
        <v>43380.269884018744</v>
      </c>
      <c r="O100" s="778"/>
      <c r="P100" s="778"/>
      <c r="Q100" s="778"/>
    </row>
    <row r="101" spans="1:17" x14ac:dyDescent="0.35">
      <c r="A101" s="269"/>
      <c r="B101" s="221"/>
      <c r="C101" s="222"/>
      <c r="D101" s="521"/>
      <c r="E101" s="606"/>
      <c r="F101" s="379"/>
      <c r="G101" s="228"/>
      <c r="H101" s="229"/>
      <c r="I101" s="562"/>
      <c r="J101" s="271"/>
      <c r="K101" s="416"/>
      <c r="L101" s="417"/>
      <c r="M101" s="417"/>
      <c r="N101" s="781"/>
      <c r="O101" s="778"/>
      <c r="P101" s="778"/>
      <c r="Q101" s="778"/>
    </row>
    <row r="102" spans="1:17" ht="39.5" x14ac:dyDescent="0.35">
      <c r="A102" s="269"/>
      <c r="B102" s="227" t="str">
        <f>'Temp Conn'!B50</f>
        <v xml:space="preserve">3.2 Temporary connection for a special events - These temporary connections would only be permitted for Municipality approved special short term events and it would be removed afterwards </v>
      </c>
      <c r="C102" s="222"/>
      <c r="D102" s="520"/>
      <c r="E102" s="606"/>
      <c r="F102" s="220"/>
      <c r="G102" s="228"/>
      <c r="H102" s="229"/>
      <c r="I102" s="562"/>
      <c r="J102" s="271"/>
      <c r="K102" s="416"/>
      <c r="L102" s="417"/>
      <c r="M102" s="417"/>
      <c r="N102" s="781"/>
      <c r="O102" s="778"/>
      <c r="P102" s="778"/>
      <c r="Q102" s="778"/>
    </row>
    <row r="103" spans="1:17" ht="28.5" customHeight="1" x14ac:dyDescent="0.35">
      <c r="A103" s="286"/>
      <c r="B103" s="836" t="str">
        <f>'Temp Conn'!B52</f>
        <v>3.2.1 Temporary connection for a special event - Single phase 80Ampère P/P with over head Airdac. Applicable where NO meter box is required -  Social, Cultural and community events. - Maximum 5 days Only. (Permit letter be attached from Municipality)</v>
      </c>
      <c r="C103" s="226"/>
      <c r="D103" s="521">
        <f>'Temp Conn'!H77</f>
        <v>12100</v>
      </c>
      <c r="E103" s="606">
        <f t="shared" si="4"/>
        <v>13914.999999999998</v>
      </c>
      <c r="F103" s="379">
        <f>'Temp Conn'!I77</f>
        <v>4500</v>
      </c>
      <c r="G103" s="228">
        <f t="shared" si="5"/>
        <v>-0.67660797700323383</v>
      </c>
      <c r="H103" s="229">
        <f t="shared" si="6"/>
        <v>675</v>
      </c>
      <c r="I103" s="562">
        <f t="shared" si="7"/>
        <v>5175</v>
      </c>
      <c r="J103" s="271">
        <v>9100033030495</v>
      </c>
      <c r="K103" s="416">
        <f>+$I103*(1+'Unit tariffs'!$F$2)</f>
        <v>5469.9749999999995</v>
      </c>
      <c r="L103" s="417">
        <f>+$K103*(1+'Unit tariffs'!$F$2)</f>
        <v>5781.763574999999</v>
      </c>
      <c r="M103" s="417">
        <f>+$L103*(1+'Unit tariffs'!$F$2)</f>
        <v>6111.3240987749987</v>
      </c>
      <c r="N103" s="781">
        <f>+$M103*(1+'Unit tariffs'!$F$2)</f>
        <v>6459.6695724051733</v>
      </c>
      <c r="O103" s="778"/>
      <c r="P103" s="778"/>
      <c r="Q103" s="778"/>
    </row>
    <row r="104" spans="1:17" ht="44.25" customHeight="1" x14ac:dyDescent="0.35">
      <c r="A104" s="269"/>
      <c r="B104" s="830" t="str">
        <f>'Temp Conn'!B83</f>
        <v>3.2.2 Temporary connection for a special event - Three phase 80Ampère P/P with over head Airdac. Applicable where NO meter box is required -  Social, Cultural and community events.  - Maximum 5 days Only. (Permit letter be attached from Municipality)</v>
      </c>
      <c r="C104" s="222"/>
      <c r="D104" s="521">
        <f>'Temp Conn'!H108</f>
        <v>12100</v>
      </c>
      <c r="E104" s="606">
        <f t="shared" si="4"/>
        <v>13914.999999999998</v>
      </c>
      <c r="F104" s="379">
        <f>'Temp Conn'!I108</f>
        <v>3190</v>
      </c>
      <c r="G104" s="228">
        <f t="shared" si="5"/>
        <v>-0.77075098814229248</v>
      </c>
      <c r="H104" s="229">
        <f t="shared" si="6"/>
        <v>478.5</v>
      </c>
      <c r="I104" s="562">
        <f t="shared" si="7"/>
        <v>3668.5</v>
      </c>
      <c r="J104" s="271">
        <v>9100033030496</v>
      </c>
      <c r="K104" s="416">
        <f>+$I104*(1+'Unit tariffs'!$F$2)</f>
        <v>3877.6044999999999</v>
      </c>
      <c r="L104" s="417">
        <f>+$K104*(1+'Unit tariffs'!$F$2)</f>
        <v>4098.6279564999995</v>
      </c>
      <c r="M104" s="417">
        <f>+$L104*(1+'Unit tariffs'!$F$2)</f>
        <v>4332.2497500204991</v>
      </c>
      <c r="N104" s="781">
        <f>+$M104*(1+'Unit tariffs'!$F$2)</f>
        <v>4579.1879857716676</v>
      </c>
      <c r="O104" s="779"/>
      <c r="P104" s="779"/>
      <c r="Q104" s="779"/>
    </row>
    <row r="105" spans="1:17" x14ac:dyDescent="0.35">
      <c r="A105" s="269"/>
      <c r="B105" s="830"/>
      <c r="C105" s="222"/>
      <c r="D105" s="521"/>
      <c r="E105" s="606"/>
      <c r="F105" s="379"/>
      <c r="G105" s="228"/>
      <c r="H105" s="229"/>
      <c r="I105" s="562"/>
      <c r="J105" s="271"/>
      <c r="K105" s="416"/>
      <c r="L105" s="417"/>
      <c r="M105" s="417"/>
      <c r="N105" s="781"/>
      <c r="O105" s="779"/>
      <c r="P105" s="779"/>
      <c r="Q105" s="779"/>
    </row>
    <row r="106" spans="1:17" ht="50" x14ac:dyDescent="0.35">
      <c r="A106" s="269"/>
      <c r="B106" s="830" t="str">
        <f>'Temp Conn'!B115</f>
        <v>3.3 Temporary connection for a special event - Single phase 80Ampère P/P- Temporary Church , temporary creches, temporary Car wash ect (where a trench is not longer than 12m) - Maximum 12 months Only. (Permit letter be attached from Municipality and only Subsidised Areas)</v>
      </c>
      <c r="C106" s="222"/>
      <c r="D106" s="521">
        <f>'Temp Conn'!H152</f>
        <v>38910</v>
      </c>
      <c r="E106" s="606">
        <f t="shared" si="4"/>
        <v>44746.5</v>
      </c>
      <c r="F106" s="379">
        <f>'Temp Conn'!I152</f>
        <v>16940</v>
      </c>
      <c r="G106" s="228">
        <f t="shared" si="5"/>
        <v>-0.62142290458471616</v>
      </c>
      <c r="H106" s="229">
        <f t="shared" si="6"/>
        <v>2541</v>
      </c>
      <c r="I106" s="562">
        <f t="shared" si="7"/>
        <v>19481</v>
      </c>
      <c r="J106" s="271">
        <v>9100033030498</v>
      </c>
      <c r="K106" s="416">
        <f>+$I106*(1+'Unit tariffs'!$F$2)</f>
        <v>20591.416999999998</v>
      </c>
      <c r="L106" s="417">
        <f>+$K106*(1+'Unit tariffs'!$F$2)</f>
        <v>21765.127768999995</v>
      </c>
      <c r="M106" s="417">
        <f>+$L106*(1+'Unit tariffs'!$F$2)</f>
        <v>23005.740051832992</v>
      </c>
      <c r="N106" s="781">
        <f>+$M106*(1+'Unit tariffs'!$F$2)</f>
        <v>24317.067234787472</v>
      </c>
      <c r="O106" s="778"/>
      <c r="P106" s="778"/>
      <c r="Q106" s="778"/>
    </row>
    <row r="107" spans="1:17" x14ac:dyDescent="0.35">
      <c r="A107" s="269"/>
      <c r="B107" s="830"/>
      <c r="C107" s="222"/>
      <c r="D107" s="521"/>
      <c r="E107" s="606"/>
      <c r="F107" s="379"/>
      <c r="G107" s="228"/>
      <c r="H107" s="229"/>
      <c r="I107" s="562"/>
      <c r="J107" s="271"/>
      <c r="K107" s="416"/>
      <c r="L107" s="417"/>
      <c r="M107" s="417"/>
      <c r="N107" s="781"/>
      <c r="O107" s="778"/>
      <c r="P107" s="778"/>
      <c r="Q107" s="778"/>
    </row>
    <row r="108" spans="1:17" ht="50" x14ac:dyDescent="0.35">
      <c r="A108" s="269"/>
      <c r="B108" s="830" t="str">
        <f>'Temp Conn'!B155</f>
        <v>3.4 Temporary connection for a special event - Three phase 80Ampère (Subsidised Areas) Temporary connection for a special event - Single phase 80Ampère P/P- Temporary Church , temporary creches, temporary Car wash ect (where a trench is not longer than 12m) - Maximum 12 months Only. (Permit letter be attached from Municipality)</v>
      </c>
      <c r="C108" s="226"/>
      <c r="D108" s="521">
        <f>'Temp Conn'!H191</f>
        <v>38200</v>
      </c>
      <c r="E108" s="606">
        <f t="shared" si="4"/>
        <v>43930</v>
      </c>
      <c r="F108" s="379">
        <f>'Temp Conn'!I191</f>
        <v>34800</v>
      </c>
      <c r="G108" s="228">
        <f t="shared" si="5"/>
        <v>-0.20783063965399498</v>
      </c>
      <c r="H108" s="229">
        <f t="shared" si="6"/>
        <v>5220</v>
      </c>
      <c r="I108" s="562">
        <f t="shared" si="7"/>
        <v>40020</v>
      </c>
      <c r="J108" s="271">
        <v>9100033030500</v>
      </c>
      <c r="K108" s="416">
        <f>+$I108*(1+'Unit tariffs'!$F$2)</f>
        <v>42301.14</v>
      </c>
      <c r="L108" s="417">
        <f>+$K108*(1+'Unit tariffs'!$F$2)</f>
        <v>44712.304979999994</v>
      </c>
      <c r="M108" s="417">
        <f>+$L108*(1+'Unit tariffs'!$F$2)</f>
        <v>47260.906363859991</v>
      </c>
      <c r="N108" s="781">
        <f>+$M108*(1+'Unit tariffs'!$F$2)</f>
        <v>49954.778026600005</v>
      </c>
      <c r="O108" s="778"/>
      <c r="P108" s="778"/>
      <c r="Q108" s="778"/>
    </row>
    <row r="109" spans="1:17" x14ac:dyDescent="0.35">
      <c r="A109" s="269"/>
      <c r="B109" s="241"/>
      <c r="C109" s="222"/>
      <c r="D109" s="521"/>
      <c r="E109" s="606"/>
      <c r="F109" s="379"/>
      <c r="G109" s="228"/>
      <c r="H109" s="229"/>
      <c r="I109" s="562"/>
      <c r="J109" s="271"/>
      <c r="K109" s="416"/>
      <c r="L109" s="417"/>
      <c r="M109" s="417"/>
      <c r="N109" s="781"/>
      <c r="O109" s="778"/>
      <c r="P109" s="778"/>
      <c r="Q109" s="778"/>
    </row>
    <row r="110" spans="1:17" ht="15" thickBot="1" x14ac:dyDescent="0.4">
      <c r="A110" s="364"/>
      <c r="B110" s="278"/>
      <c r="C110" s="279"/>
      <c r="D110" s="524"/>
      <c r="E110" s="606"/>
      <c r="F110" s="284"/>
      <c r="G110" s="228"/>
      <c r="H110" s="229"/>
      <c r="I110" s="562"/>
      <c r="J110" s="271"/>
      <c r="K110" s="416"/>
      <c r="L110" s="417"/>
      <c r="M110" s="417"/>
      <c r="N110" s="781"/>
      <c r="O110" s="778"/>
      <c r="P110" s="778"/>
      <c r="Q110" s="778"/>
    </row>
    <row r="111" spans="1:17" ht="15.5" x14ac:dyDescent="0.35">
      <c r="A111" s="261"/>
      <c r="B111" s="262" t="str">
        <f>B1</f>
        <v>CENTLEC : ELECTRICITY SERVICES COSTS FOR MANGAUNG METRO</v>
      </c>
      <c r="C111" s="263"/>
      <c r="D111" s="534"/>
      <c r="E111" s="606"/>
      <c r="F111" s="267"/>
      <c r="G111" s="228"/>
      <c r="H111" s="229"/>
      <c r="I111" s="562"/>
      <c r="J111" s="271"/>
      <c r="K111" s="416"/>
      <c r="L111" s="417"/>
      <c r="M111" s="417"/>
      <c r="N111" s="781"/>
      <c r="O111" s="778"/>
      <c r="P111" s="778"/>
      <c r="Q111" s="778"/>
    </row>
    <row r="112" spans="1:17" x14ac:dyDescent="0.35">
      <c r="A112" s="286"/>
      <c r="B112" s="287"/>
      <c r="C112" s="288"/>
      <c r="D112" s="530"/>
      <c r="E112" s="606"/>
      <c r="F112" s="308"/>
      <c r="G112" s="228"/>
      <c r="H112" s="229"/>
      <c r="I112" s="562"/>
      <c r="J112" s="271"/>
      <c r="K112" s="416"/>
      <c r="L112" s="417"/>
      <c r="M112" s="417"/>
      <c r="N112" s="781"/>
      <c r="O112" s="778"/>
      <c r="P112" s="778"/>
      <c r="Q112" s="778"/>
    </row>
    <row r="113" spans="1:17" x14ac:dyDescent="0.35">
      <c r="A113" s="269"/>
      <c r="B113" s="307" t="str">
        <f>'Upgrade '!B1</f>
        <v>4. Upgrade Residential</v>
      </c>
      <c r="C113" s="226"/>
      <c r="D113" s="516"/>
      <c r="E113" s="606"/>
      <c r="F113" s="224"/>
      <c r="G113" s="228"/>
      <c r="H113" s="229"/>
      <c r="I113" s="562"/>
      <c r="J113" s="271"/>
      <c r="K113" s="416"/>
      <c r="L113" s="417"/>
      <c r="M113" s="417"/>
      <c r="N113" s="781"/>
      <c r="O113" s="778"/>
      <c r="P113" s="778"/>
      <c r="Q113" s="778"/>
    </row>
    <row r="114" spans="1:17" x14ac:dyDescent="0.35">
      <c r="A114" s="269"/>
      <c r="B114" s="227"/>
      <c r="C114" s="226"/>
      <c r="D114" s="516"/>
      <c r="E114" s="606"/>
      <c r="F114" s="224"/>
      <c r="G114" s="228"/>
      <c r="H114" s="229"/>
      <c r="I114" s="562"/>
      <c r="J114" s="271"/>
      <c r="K114" s="416"/>
      <c r="L114" s="417"/>
      <c r="M114" s="417"/>
      <c r="N114" s="781"/>
      <c r="O114" s="778"/>
      <c r="P114" s="778"/>
      <c r="Q114" s="778"/>
    </row>
    <row r="115" spans="1:17" x14ac:dyDescent="0.35">
      <c r="A115" s="269"/>
      <c r="B115" s="514" t="str">
        <f>'Upgrade '!B3</f>
        <v xml:space="preserve">4.1 Upgrade of single phase Urban connection to three phase - Time of Use Meter(TOU)            </v>
      </c>
      <c r="C115" s="688" t="str">
        <f>'Upgrade '!H3</f>
        <v>[Mangaung]</v>
      </c>
      <c r="D115" s="521">
        <f>'Upgrade '!H36</f>
        <v>21350</v>
      </c>
      <c r="E115" s="606">
        <f t="shared" si="4"/>
        <v>24552.499999999996</v>
      </c>
      <c r="F115" s="379">
        <f>'Upgrade '!I36</f>
        <v>13790</v>
      </c>
      <c r="G115" s="228">
        <f t="shared" si="5"/>
        <v>-0.43834640057020663</v>
      </c>
      <c r="H115" s="229">
        <f t="shared" si="6"/>
        <v>2068.5</v>
      </c>
      <c r="I115" s="562">
        <f t="shared" si="7"/>
        <v>15858.5</v>
      </c>
      <c r="J115" s="271">
        <v>9100033030507</v>
      </c>
      <c r="K115" s="416">
        <f>+$I115*(1+'Unit tariffs'!$F$2)</f>
        <v>16762.434499999999</v>
      </c>
      <c r="L115" s="417">
        <f>+$K115*(1+'Unit tariffs'!$F$2)</f>
        <v>17717.893266499999</v>
      </c>
      <c r="M115" s="417">
        <f>+$L115*(1+'Unit tariffs'!$F$2)</f>
        <v>18727.813182690497</v>
      </c>
      <c r="N115" s="781">
        <f>+$M115*(1+'Unit tariffs'!$F$2)</f>
        <v>19795.298534103855</v>
      </c>
      <c r="O115" s="778"/>
      <c r="P115" s="778"/>
      <c r="Q115" s="778"/>
    </row>
    <row r="116" spans="1:17" ht="19.5" customHeight="1" x14ac:dyDescent="0.35">
      <c r="A116" s="269"/>
      <c r="B116" s="227"/>
      <c r="C116" s="226"/>
      <c r="D116" s="520"/>
      <c r="E116" s="606"/>
      <c r="F116" s="220"/>
      <c r="G116" s="228"/>
      <c r="H116" s="229"/>
      <c r="I116" s="562"/>
      <c r="J116" s="271"/>
      <c r="K116" s="416"/>
      <c r="L116" s="417"/>
      <c r="M116" s="417"/>
      <c r="N116" s="781"/>
      <c r="O116" s="778"/>
      <c r="P116" s="778"/>
      <c r="Q116" s="778"/>
    </row>
    <row r="117" spans="1:17" x14ac:dyDescent="0.35">
      <c r="A117" s="269"/>
      <c r="B117" s="221" t="str">
        <f>'Upgrade '!B43</f>
        <v xml:space="preserve">4.2 Upgrade of single phase Urban connection to three phase - Split pre-payment meter             </v>
      </c>
      <c r="C117" s="222" t="str">
        <f>'Upgrade '!H43</f>
        <v>[Mangaung - Urban]</v>
      </c>
      <c r="D117" s="521">
        <f>'Upgrade '!H74</f>
        <v>13670</v>
      </c>
      <c r="E117" s="606">
        <f t="shared" si="4"/>
        <v>15720.499999999998</v>
      </c>
      <c r="F117" s="379">
        <f>'Upgrade '!I74</f>
        <v>14760</v>
      </c>
      <c r="G117" s="228">
        <f t="shared" si="5"/>
        <v>-6.1098565567252842E-2</v>
      </c>
      <c r="H117" s="229">
        <f t="shared" si="6"/>
        <v>2214</v>
      </c>
      <c r="I117" s="562">
        <f t="shared" si="7"/>
        <v>16974</v>
      </c>
      <c r="J117" s="271">
        <v>9100033030509</v>
      </c>
      <c r="K117" s="416">
        <f>+$I117*(1+'Unit tariffs'!$F$2)</f>
        <v>17941.518</v>
      </c>
      <c r="L117" s="417">
        <f>+$K117*(1+'Unit tariffs'!$F$2)</f>
        <v>18964.184525999997</v>
      </c>
      <c r="M117" s="417">
        <f>+$L117*(1+'Unit tariffs'!$F$2)</f>
        <v>20045.143043981996</v>
      </c>
      <c r="N117" s="781">
        <f>+$M117*(1+'Unit tariffs'!$F$2)</f>
        <v>21187.716197488968</v>
      </c>
      <c r="O117" s="778"/>
      <c r="P117" s="778"/>
      <c r="Q117" s="778"/>
    </row>
    <row r="118" spans="1:17" x14ac:dyDescent="0.35">
      <c r="A118" s="269"/>
      <c r="B118" s="221"/>
      <c r="C118" s="222"/>
      <c r="D118" s="521"/>
      <c r="E118" s="606"/>
      <c r="F118" s="379"/>
      <c r="G118" s="228"/>
      <c r="H118" s="229"/>
      <c r="I118" s="562"/>
      <c r="J118" s="271"/>
      <c r="K118" s="416"/>
      <c r="L118" s="417"/>
      <c r="M118" s="417"/>
      <c r="N118" s="781"/>
      <c r="O118" s="778"/>
      <c r="P118" s="778"/>
      <c r="Q118" s="778"/>
    </row>
    <row r="119" spans="1:17" x14ac:dyDescent="0.35">
      <c r="A119" s="269"/>
      <c r="B119" s="221" t="str">
        <f>'Upgrade '!B80</f>
        <v xml:space="preserve">4.3 Upgrading of single phase Urban connection to three phase - Time of Use Meter(TOU)            </v>
      </c>
      <c r="C119" s="222" t="str">
        <f>'Upgrade '!H80</f>
        <v>[Regional - Urban]</v>
      </c>
      <c r="D119" s="521">
        <f>'Upgrade '!H112</f>
        <v>18400</v>
      </c>
      <c r="E119" s="606">
        <f t="shared" si="4"/>
        <v>21160</v>
      </c>
      <c r="F119" s="379">
        <f>'Upgrade '!I112</f>
        <v>10460</v>
      </c>
      <c r="G119" s="228">
        <f t="shared" si="5"/>
        <v>-0.50567107750472595</v>
      </c>
      <c r="H119" s="229">
        <f t="shared" si="6"/>
        <v>1569</v>
      </c>
      <c r="I119" s="562">
        <f t="shared" si="7"/>
        <v>12029</v>
      </c>
      <c r="J119" s="271">
        <v>9100033030511</v>
      </c>
      <c r="K119" s="416">
        <f>+$I119*(1+'Unit tariffs'!$F$2)</f>
        <v>12714.652999999998</v>
      </c>
      <c r="L119" s="417">
        <f>+$K119*(1+'Unit tariffs'!$F$2)</f>
        <v>13439.388220999997</v>
      </c>
      <c r="M119" s="417">
        <f>+$L119*(1+'Unit tariffs'!$F$2)</f>
        <v>14205.433349596997</v>
      </c>
      <c r="N119" s="781">
        <f>+$M119*(1+'Unit tariffs'!$F$2)</f>
        <v>15015.143050524024</v>
      </c>
      <c r="O119" s="778"/>
      <c r="P119" s="778"/>
      <c r="Q119" s="778"/>
    </row>
    <row r="120" spans="1:17" x14ac:dyDescent="0.35">
      <c r="A120" s="269"/>
      <c r="B120" s="221"/>
      <c r="C120" s="222"/>
      <c r="D120" s="521"/>
      <c r="E120" s="606"/>
      <c r="F120" s="379"/>
      <c r="G120" s="228"/>
      <c r="H120" s="229"/>
      <c r="I120" s="562"/>
      <c r="J120" s="271"/>
      <c r="K120" s="416"/>
      <c r="L120" s="417"/>
      <c r="M120" s="417"/>
      <c r="N120" s="781"/>
      <c r="O120" s="779"/>
      <c r="P120" s="779"/>
      <c r="Q120" s="779"/>
    </row>
    <row r="121" spans="1:17" x14ac:dyDescent="0.35">
      <c r="A121" s="269"/>
      <c r="B121" s="221" t="str">
        <f>'Upgrade '!B119</f>
        <v xml:space="preserve">4.4 Upgrade of single phase Urban connection to three phase - Split pre-payment meter            </v>
      </c>
      <c r="C121" s="222" t="str">
        <f>'Upgrade '!H119</f>
        <v>[Regional - Urban]</v>
      </c>
      <c r="D121" s="521">
        <f>'Upgrade '!H149</f>
        <v>16290</v>
      </c>
      <c r="E121" s="606">
        <f t="shared" si="4"/>
        <v>18733.5</v>
      </c>
      <c r="F121" s="379">
        <f>'Upgrade '!I149</f>
        <v>10090</v>
      </c>
      <c r="G121" s="228">
        <f t="shared" si="5"/>
        <v>-0.46139269223583418</v>
      </c>
      <c r="H121" s="229">
        <f t="shared" si="6"/>
        <v>1513.5</v>
      </c>
      <c r="I121" s="562">
        <f t="shared" si="7"/>
        <v>11603.5</v>
      </c>
      <c r="J121" s="271">
        <v>9100033030513</v>
      </c>
      <c r="K121" s="416">
        <f>+$I121*(1+'Unit tariffs'!$F$2)</f>
        <v>12264.8995</v>
      </c>
      <c r="L121" s="417">
        <f>+$K121*(1+'Unit tariffs'!$F$2)</f>
        <v>12963.998771499999</v>
      </c>
      <c r="M121" s="417">
        <f>+$L121*(1+'Unit tariffs'!$F$2)</f>
        <v>13702.946701475497</v>
      </c>
      <c r="N121" s="781">
        <f>+$M121*(1+'Unit tariffs'!$F$2)</f>
        <v>14484.0146634596</v>
      </c>
      <c r="O121" s="779"/>
      <c r="P121" s="779"/>
      <c r="Q121" s="779"/>
    </row>
    <row r="122" spans="1:17" x14ac:dyDescent="0.35">
      <c r="A122" s="269"/>
      <c r="B122" s="221"/>
      <c r="C122" s="222"/>
      <c r="D122" s="521"/>
      <c r="E122" s="606"/>
      <c r="F122" s="379"/>
      <c r="G122" s="228"/>
      <c r="H122" s="229"/>
      <c r="I122" s="562"/>
      <c r="J122" s="271"/>
      <c r="K122" s="416"/>
      <c r="L122" s="417"/>
      <c r="M122" s="417"/>
      <c r="N122" s="781"/>
      <c r="O122" s="779"/>
      <c r="P122" s="779"/>
      <c r="Q122" s="779"/>
    </row>
    <row r="123" spans="1:17" x14ac:dyDescent="0.35">
      <c r="A123" s="269"/>
      <c r="B123" s="221" t="str">
        <f>'Upgrade '!B154</f>
        <v xml:space="preserve">4.5 Upgrade of single phase Peri-Urban connection to three phase -Time of Use Meter(TOU)  </v>
      </c>
      <c r="C123" s="222" t="str">
        <f>'Upgrade '!H154</f>
        <v>[Mangaung - Urban]</v>
      </c>
      <c r="D123" s="521">
        <f>'Upgrade '!H186</f>
        <v>22900</v>
      </c>
      <c r="E123" s="606">
        <f t="shared" si="4"/>
        <v>26334.999999999996</v>
      </c>
      <c r="F123" s="379">
        <f>'Upgrade '!I186</f>
        <v>19730</v>
      </c>
      <c r="G123" s="228">
        <f t="shared" si="5"/>
        <v>-0.25080691095500274</v>
      </c>
      <c r="H123" s="229">
        <f t="shared" si="6"/>
        <v>2959.5</v>
      </c>
      <c r="I123" s="562">
        <f t="shared" si="7"/>
        <v>22689.5</v>
      </c>
      <c r="J123" s="271">
        <v>9100033030515</v>
      </c>
      <c r="K123" s="416">
        <f>+$I123*(1+'Unit tariffs'!$F$2)</f>
        <v>23982.801499999998</v>
      </c>
      <c r="L123" s="417">
        <f>+$K123*(1+'Unit tariffs'!$F$2)</f>
        <v>25349.821185499997</v>
      </c>
      <c r="M123" s="417">
        <f>+$L123*(1+'Unit tariffs'!$F$2)</f>
        <v>26794.760993073494</v>
      </c>
      <c r="N123" s="781">
        <f>+$M123*(1+'Unit tariffs'!$F$2)</f>
        <v>28322.062369678682</v>
      </c>
      <c r="O123" s="779"/>
      <c r="P123" s="779"/>
      <c r="Q123" s="779"/>
    </row>
    <row r="124" spans="1:17" x14ac:dyDescent="0.35">
      <c r="A124" s="269"/>
      <c r="B124" s="221"/>
      <c r="C124" s="222"/>
      <c r="D124" s="521"/>
      <c r="E124" s="606"/>
      <c r="F124" s="379"/>
      <c r="G124" s="228"/>
      <c r="H124" s="229"/>
      <c r="I124" s="562"/>
      <c r="J124" s="271"/>
      <c r="K124" s="416"/>
      <c r="L124" s="417"/>
      <c r="M124" s="417"/>
      <c r="N124" s="781"/>
      <c r="O124" s="779"/>
      <c r="P124" s="779"/>
      <c r="Q124" s="779"/>
    </row>
    <row r="125" spans="1:17" x14ac:dyDescent="0.35">
      <c r="A125" s="269"/>
      <c r="B125" s="221" t="str">
        <f>'Upgrade '!B191</f>
        <v xml:space="preserve">4.6 Upgrade of single phase Peri-Urban connection to three phase -Split pre-payment meter    </v>
      </c>
      <c r="C125" s="222" t="str">
        <f>'Upgrade '!H191</f>
        <v>[Mangaung - Peri urban]</v>
      </c>
      <c r="D125" s="521">
        <f>'Upgrade '!H223</f>
        <v>24860</v>
      </c>
      <c r="E125" s="606">
        <f t="shared" si="4"/>
        <v>28588.999999999996</v>
      </c>
      <c r="F125" s="379">
        <f>'Upgrade '!I223</f>
        <v>19730</v>
      </c>
      <c r="G125" s="228">
        <f t="shared" si="5"/>
        <v>-0.30987442722725517</v>
      </c>
      <c r="H125" s="229">
        <f t="shared" si="6"/>
        <v>2959.5</v>
      </c>
      <c r="I125" s="562">
        <f t="shared" si="7"/>
        <v>22689.5</v>
      </c>
      <c r="J125" s="271">
        <v>9100033030517</v>
      </c>
      <c r="K125" s="416">
        <f>+$I125*(1+'Unit tariffs'!$F$2)</f>
        <v>23982.801499999998</v>
      </c>
      <c r="L125" s="417">
        <f>+$K125*(1+'Unit tariffs'!$F$2)</f>
        <v>25349.821185499997</v>
      </c>
      <c r="M125" s="417">
        <f>+$L125*(1+'Unit tariffs'!$F$2)</f>
        <v>26794.760993073494</v>
      </c>
      <c r="N125" s="781">
        <f>+$M125*(1+'Unit tariffs'!$F$2)</f>
        <v>28322.062369678682</v>
      </c>
      <c r="O125" s="778"/>
      <c r="P125" s="778"/>
      <c r="Q125" s="778"/>
    </row>
    <row r="126" spans="1:17" x14ac:dyDescent="0.35">
      <c r="A126" s="269"/>
      <c r="B126" s="221"/>
      <c r="C126" s="222"/>
      <c r="D126" s="520"/>
      <c r="E126" s="606"/>
      <c r="F126" s="220"/>
      <c r="G126" s="228"/>
      <c r="H126" s="229"/>
      <c r="I126" s="562"/>
      <c r="J126" s="271"/>
      <c r="K126" s="416"/>
      <c r="L126" s="417"/>
      <c r="M126" s="417"/>
      <c r="N126" s="781"/>
      <c r="O126" s="778"/>
      <c r="P126" s="778"/>
      <c r="Q126" s="778"/>
    </row>
    <row r="127" spans="1:17" x14ac:dyDescent="0.35">
      <c r="A127" s="286"/>
      <c r="B127" s="221" t="str">
        <f>'Upgrade '!B228</f>
        <v xml:space="preserve">4.7 Upgrade of single phase Peri-Urban connection to three phase -Time of Use Meter(TOU)  </v>
      </c>
      <c r="C127" s="222" t="str">
        <f>'Upgrade '!H228</f>
        <v>[Regional - Peri urban]</v>
      </c>
      <c r="D127" s="525">
        <f>'Upgrade '!H260</f>
        <v>23860</v>
      </c>
      <c r="E127" s="606">
        <f t="shared" si="4"/>
        <v>27438.999999999996</v>
      </c>
      <c r="F127" s="382">
        <f>'Upgrade '!I260</f>
        <v>16550</v>
      </c>
      <c r="G127" s="228">
        <f t="shared" si="5"/>
        <v>-0.39684390830569621</v>
      </c>
      <c r="H127" s="229">
        <f t="shared" si="6"/>
        <v>2482.5</v>
      </c>
      <c r="I127" s="562">
        <f t="shared" si="7"/>
        <v>19032.5</v>
      </c>
      <c r="J127" s="271">
        <v>9100033030519</v>
      </c>
      <c r="K127" s="416">
        <f>+$I127*(1+'Unit tariffs'!$F$2)</f>
        <v>20117.352499999997</v>
      </c>
      <c r="L127" s="417">
        <f>+$K127*(1+'Unit tariffs'!$F$2)</f>
        <v>21264.041592499994</v>
      </c>
      <c r="M127" s="417">
        <f>+$L127*(1+'Unit tariffs'!$F$2)</f>
        <v>22476.091963272494</v>
      </c>
      <c r="N127" s="781">
        <f>+$M127*(1+'Unit tariffs'!$F$2)</f>
        <v>23757.229205179025</v>
      </c>
      <c r="O127" s="778"/>
      <c r="P127" s="778"/>
      <c r="Q127" s="778"/>
    </row>
    <row r="128" spans="1:17" x14ac:dyDescent="0.35">
      <c r="A128" s="269"/>
      <c r="B128" s="221"/>
      <c r="C128" s="222"/>
      <c r="D128" s="521"/>
      <c r="E128" s="606"/>
      <c r="F128" s="379"/>
      <c r="G128" s="228"/>
      <c r="H128" s="229"/>
      <c r="I128" s="562"/>
      <c r="J128" s="271"/>
      <c r="K128" s="416"/>
      <c r="L128" s="417"/>
      <c r="M128" s="417"/>
      <c r="N128" s="781"/>
      <c r="O128" s="778"/>
      <c r="P128" s="778"/>
      <c r="Q128" s="778"/>
    </row>
    <row r="129" spans="1:17" ht="29" customHeight="1" x14ac:dyDescent="0.35">
      <c r="A129" s="269"/>
      <c r="B129" s="195" t="str">
        <f>'Upgrade '!B265</f>
        <v xml:space="preserve">4.8 Conversion of single phase Peri-Urban connection to three phase - Split pre-payment meter      </v>
      </c>
      <c r="C129" s="222" t="str">
        <f>'Upgrade '!H265</f>
        <v>[Regional - Peri urban]</v>
      </c>
      <c r="D129" s="521">
        <f>'Upgrade '!H296</f>
        <v>21370</v>
      </c>
      <c r="E129" s="606">
        <f t="shared" si="4"/>
        <v>24575.499999999996</v>
      </c>
      <c r="F129" s="379">
        <f>'Upgrade '!I296</f>
        <v>15780</v>
      </c>
      <c r="G129" s="228">
        <f t="shared" si="5"/>
        <v>-0.35789709263290664</v>
      </c>
      <c r="H129" s="229">
        <f t="shared" si="6"/>
        <v>2367</v>
      </c>
      <c r="I129" s="562">
        <f t="shared" si="7"/>
        <v>18147</v>
      </c>
      <c r="J129" s="271">
        <v>9100033030521</v>
      </c>
      <c r="K129" s="416">
        <f>+$I129*(1+'Unit tariffs'!$F$2)</f>
        <v>19181.378999999997</v>
      </c>
      <c r="L129" s="417">
        <f>+$K129*(1+'Unit tariffs'!$F$2)</f>
        <v>20274.717602999997</v>
      </c>
      <c r="M129" s="417">
        <f>+$L129*(1+'Unit tariffs'!$F$2)</f>
        <v>21430.376506370994</v>
      </c>
      <c r="N129" s="781">
        <f>+$M129*(1+'Unit tariffs'!$F$2)</f>
        <v>22651.90796723414</v>
      </c>
      <c r="O129" s="778"/>
      <c r="P129" s="778"/>
      <c r="Q129" s="778"/>
    </row>
    <row r="130" spans="1:17" ht="15" thickBot="1" x14ac:dyDescent="0.4">
      <c r="A130" s="269"/>
      <c r="C130" s="222"/>
      <c r="D130" s="521"/>
      <c r="E130" s="606"/>
      <c r="F130" s="379"/>
      <c r="G130" s="228"/>
      <c r="H130" s="229"/>
      <c r="I130" s="562"/>
      <c r="J130" s="271"/>
      <c r="K130" s="416"/>
      <c r="L130" s="417"/>
      <c r="M130" s="417"/>
      <c r="N130" s="781"/>
      <c r="O130" s="778"/>
      <c r="P130" s="778"/>
      <c r="Q130" s="778"/>
    </row>
    <row r="131" spans="1:17" ht="16.5" customHeight="1" x14ac:dyDescent="0.35">
      <c r="A131" s="261"/>
      <c r="B131" s="262" t="str">
        <f>$B1</f>
        <v>CENTLEC : ELECTRICITY SERVICES COSTS FOR MANGAUNG METRO</v>
      </c>
      <c r="C131" s="263"/>
      <c r="D131" s="534"/>
      <c r="E131" s="606"/>
      <c r="F131" s="267"/>
      <c r="G131" s="228"/>
      <c r="H131" s="229"/>
      <c r="I131" s="562"/>
      <c r="J131" s="271"/>
      <c r="K131" s="416"/>
      <c r="L131" s="417"/>
      <c r="M131" s="417"/>
      <c r="N131" s="781"/>
      <c r="O131" s="778"/>
      <c r="P131" s="778"/>
      <c r="Q131" s="778"/>
    </row>
    <row r="132" spans="1:17" x14ac:dyDescent="0.35">
      <c r="A132" s="269"/>
      <c r="B132" s="227" t="str">
        <f>'Other Serv'!B2</f>
        <v>Other Services</v>
      </c>
      <c r="C132" s="226"/>
      <c r="D132" s="516"/>
      <c r="E132" s="606"/>
      <c r="F132" s="224"/>
      <c r="G132" s="228"/>
      <c r="H132" s="229"/>
      <c r="I132" s="562"/>
      <c r="J132" s="271"/>
      <c r="K132" s="416"/>
      <c r="L132" s="417"/>
      <c r="M132" s="417"/>
      <c r="N132" s="781"/>
      <c r="O132" s="778"/>
      <c r="P132" s="778"/>
      <c r="Q132" s="778"/>
    </row>
    <row r="133" spans="1:17" x14ac:dyDescent="0.35">
      <c r="A133" s="269"/>
      <c r="B133" s="225"/>
      <c r="C133" s="226"/>
      <c r="D133" s="516"/>
      <c r="E133" s="606"/>
      <c r="F133" s="224"/>
      <c r="G133" s="228"/>
      <c r="H133" s="229"/>
      <c r="I133" s="562"/>
      <c r="J133" s="271"/>
      <c r="K133" s="416"/>
      <c r="L133" s="417"/>
      <c r="M133" s="417"/>
      <c r="N133" s="781"/>
      <c r="O133" s="778"/>
      <c r="P133" s="778"/>
      <c r="Q133" s="778"/>
    </row>
    <row r="134" spans="1:17" x14ac:dyDescent="0.35">
      <c r="A134" s="269"/>
      <c r="B134" s="514" t="str">
        <f>'Other Serv'!B4</f>
        <v>5.  ILLUMINATING SIGNS</v>
      </c>
      <c r="C134" s="226"/>
      <c r="D134" s="521"/>
      <c r="E134" s="606"/>
      <c r="F134" s="224"/>
      <c r="G134" s="228"/>
      <c r="H134" s="229"/>
      <c r="I134" s="562"/>
      <c r="J134" s="271"/>
      <c r="K134" s="416"/>
      <c r="L134" s="417"/>
      <c r="M134" s="417"/>
      <c r="N134" s="781"/>
      <c r="O134" s="778"/>
      <c r="P134" s="778"/>
      <c r="Q134" s="778"/>
    </row>
    <row r="135" spans="1:17" ht="15" thickBot="1" x14ac:dyDescent="0.4">
      <c r="A135" s="293"/>
      <c r="B135" s="837" t="s">
        <v>733</v>
      </c>
      <c r="C135" s="295"/>
      <c r="D135" s="521">
        <f>'Other Serv'!H15</f>
        <v>111</v>
      </c>
      <c r="E135" s="606">
        <f t="shared" si="4"/>
        <v>127.64999999999999</v>
      </c>
      <c r="F135" s="379">
        <f>'Other Serv'!I15</f>
        <v>1656</v>
      </c>
      <c r="G135" s="228">
        <f t="shared" si="5"/>
        <v>11.972972972972974</v>
      </c>
      <c r="H135" s="229">
        <f t="shared" si="6"/>
        <v>248.39999999999998</v>
      </c>
      <c r="I135" s="562">
        <f t="shared" si="7"/>
        <v>1904.4</v>
      </c>
      <c r="J135" s="271">
        <v>9100033030527</v>
      </c>
      <c r="K135" s="416">
        <f>+$I135*(1+'Unit tariffs'!$F$2)</f>
        <v>2012.9508000000001</v>
      </c>
      <c r="L135" s="417">
        <f>+$K135*(1+'Unit tariffs'!$F$2)</f>
        <v>2127.6889956</v>
      </c>
      <c r="M135" s="417">
        <f>+$L135*(1+'Unit tariffs'!$F$2)</f>
        <v>2248.9672683491999</v>
      </c>
      <c r="N135" s="781">
        <f>+$M135*(1+'Unit tariffs'!$F$2)</f>
        <v>2377.1584026451042</v>
      </c>
      <c r="O135" s="778"/>
      <c r="P135" s="778"/>
      <c r="Q135" s="778"/>
    </row>
    <row r="136" spans="1:17" ht="15" thickTop="1" x14ac:dyDescent="0.35">
      <c r="A136" s="286"/>
      <c r="B136" s="287"/>
      <c r="C136" s="288"/>
      <c r="D136" s="525"/>
      <c r="E136" s="606"/>
      <c r="F136" s="382"/>
      <c r="G136" s="228"/>
      <c r="H136" s="229"/>
      <c r="I136" s="562"/>
      <c r="J136" s="271"/>
      <c r="K136" s="416"/>
      <c r="L136" s="417"/>
      <c r="M136" s="417"/>
      <c r="N136" s="781"/>
      <c r="O136" s="778"/>
      <c r="P136" s="778"/>
      <c r="Q136" s="778"/>
    </row>
    <row r="137" spans="1:17" x14ac:dyDescent="0.35">
      <c r="A137" s="269"/>
      <c r="B137" s="221" t="str">
        <f>'Other Serv'!B19</f>
        <v xml:space="preserve">6. Shifting </v>
      </c>
      <c r="C137" s="222"/>
      <c r="D137" s="521"/>
      <c r="E137" s="606"/>
      <c r="F137" s="379"/>
      <c r="G137" s="228"/>
      <c r="H137" s="229"/>
      <c r="I137" s="562"/>
      <c r="J137" s="271"/>
      <c r="K137" s="416"/>
      <c r="L137" s="417"/>
      <c r="M137" s="417"/>
      <c r="N137" s="781"/>
      <c r="O137" s="778"/>
      <c r="P137" s="778"/>
      <c r="Q137" s="778"/>
    </row>
    <row r="138" spans="1:17" x14ac:dyDescent="0.35">
      <c r="A138" s="269"/>
      <c r="B138" s="221" t="str">
        <f>'Other Serv'!B21</f>
        <v>6.1 Shifting of meter to meter box on stand boundary - Domestic connection - Urban</v>
      </c>
      <c r="C138" s="222"/>
      <c r="D138" s="521">
        <f>'Other Serv'!H28</f>
        <v>4980</v>
      </c>
      <c r="E138" s="606">
        <f t="shared" si="4"/>
        <v>5727</v>
      </c>
      <c r="F138" s="379">
        <f>'Other Serv'!I28</f>
        <v>4930</v>
      </c>
      <c r="G138" s="228">
        <f t="shared" si="5"/>
        <v>-0.13916535708049591</v>
      </c>
      <c r="H138" s="229">
        <f t="shared" si="6"/>
        <v>739.5</v>
      </c>
      <c r="I138" s="562">
        <f t="shared" si="7"/>
        <v>5669.5</v>
      </c>
      <c r="J138" s="271">
        <v>9100033030530</v>
      </c>
      <c r="K138" s="416">
        <f>+$I138*(1+'Unit tariffs'!$F$2)</f>
        <v>5992.6614999999993</v>
      </c>
      <c r="L138" s="417">
        <f>+$K138*(1+'Unit tariffs'!$F$2)</f>
        <v>6334.243205499999</v>
      </c>
      <c r="M138" s="417">
        <f>+$L138*(1+'Unit tariffs'!$F$2)</f>
        <v>6695.2950682134988</v>
      </c>
      <c r="N138" s="781">
        <f>+$M138*(1+'Unit tariffs'!$F$2)</f>
        <v>7076.9268871016675</v>
      </c>
      <c r="O138" s="779"/>
      <c r="P138" s="779"/>
      <c r="Q138" s="779"/>
    </row>
    <row r="139" spans="1:17" x14ac:dyDescent="0.35">
      <c r="A139" s="269"/>
      <c r="B139" s="221"/>
      <c r="C139" s="222"/>
      <c r="D139" s="521"/>
      <c r="E139" s="606"/>
      <c r="F139" s="379"/>
      <c r="G139" s="228"/>
      <c r="H139" s="229"/>
      <c r="I139" s="562"/>
      <c r="J139" s="271"/>
      <c r="K139" s="416"/>
      <c r="L139" s="417"/>
      <c r="M139" s="417"/>
      <c r="N139" s="781"/>
      <c r="O139" s="779"/>
      <c r="P139" s="779"/>
      <c r="Q139" s="779"/>
    </row>
    <row r="140" spans="1:17" ht="26" x14ac:dyDescent="0.35">
      <c r="A140" s="269"/>
      <c r="B140" s="221" t="str">
        <f>'Other Serv'!B33</f>
        <v>6.2 Shifting of connection - Pre-payment with ready board (per single connection) - Overhead only</v>
      </c>
      <c r="C140" s="222"/>
      <c r="D140" s="521">
        <f>'Other Serv'!H57</f>
        <v>2760</v>
      </c>
      <c r="E140" s="606">
        <f t="shared" ref="E140:E147" si="8">D140*1.15</f>
        <v>3173.9999999999995</v>
      </c>
      <c r="F140" s="379">
        <f>'Other Serv'!I57</f>
        <v>3440</v>
      </c>
      <c r="G140" s="228">
        <f t="shared" si="5"/>
        <v>8.3805923125393977E-2</v>
      </c>
      <c r="H140" s="229">
        <f t="shared" si="6"/>
        <v>516</v>
      </c>
      <c r="I140" s="562">
        <f t="shared" si="7"/>
        <v>3956</v>
      </c>
      <c r="J140" s="271">
        <v>9100033030532</v>
      </c>
      <c r="K140" s="416">
        <f>+$I140*(1+'Unit tariffs'!$F$2)</f>
        <v>4181.4920000000002</v>
      </c>
      <c r="L140" s="417">
        <f>+$K140*(1+'Unit tariffs'!$F$2)</f>
        <v>4419.8370439999999</v>
      </c>
      <c r="M140" s="417">
        <f>+$L140*(1+'Unit tariffs'!$F$2)</f>
        <v>4671.7677555079999</v>
      </c>
      <c r="N140" s="781">
        <f>+$M140*(1+'Unit tariffs'!$F$2)</f>
        <v>4938.0585175719552</v>
      </c>
      <c r="O140" s="779"/>
      <c r="P140" s="779"/>
      <c r="Q140" s="779"/>
    </row>
    <row r="141" spans="1:17" x14ac:dyDescent="0.35">
      <c r="A141" s="269"/>
      <c r="B141" s="221"/>
      <c r="C141" s="222"/>
      <c r="D141" s="521"/>
      <c r="E141" s="606"/>
      <c r="F141" s="379"/>
      <c r="G141" s="228"/>
      <c r="H141" s="229"/>
      <c r="I141" s="562"/>
      <c r="J141" s="271"/>
      <c r="K141" s="416"/>
      <c r="L141" s="417"/>
      <c r="M141" s="417"/>
      <c r="N141" s="781"/>
      <c r="O141" s="779"/>
      <c r="P141" s="779"/>
      <c r="Q141" s="779"/>
    </row>
    <row r="142" spans="1:17" x14ac:dyDescent="0.35">
      <c r="A142" s="269"/>
      <c r="B142" s="221" t="str">
        <f>'Other Serv'!B64</f>
        <v>7. Hiring of Genset</v>
      </c>
      <c r="C142" s="222"/>
      <c r="D142" s="521">
        <f>'Other Serv'!H86</f>
        <v>14740</v>
      </c>
      <c r="E142" s="606">
        <f t="shared" si="8"/>
        <v>16951</v>
      </c>
      <c r="F142" s="379">
        <f>'Other Serv'!I86</f>
        <v>17920</v>
      </c>
      <c r="G142" s="228">
        <f t="shared" si="5"/>
        <v>5.7164769040174618E-2</v>
      </c>
      <c r="H142" s="229">
        <f t="shared" si="6"/>
        <v>2688</v>
      </c>
      <c r="I142" s="562">
        <f t="shared" si="7"/>
        <v>20608</v>
      </c>
      <c r="J142" s="271">
        <v>9100033030534</v>
      </c>
      <c r="K142" s="416">
        <f>+$I142*(1+'Unit tariffs'!$F$2)</f>
        <v>21782.655999999999</v>
      </c>
      <c r="L142" s="417">
        <f>+$K142*(1+'Unit tariffs'!$F$2)</f>
        <v>23024.267391999998</v>
      </c>
      <c r="M142" s="417">
        <f>+$L142*(1+'Unit tariffs'!$F$2)</f>
        <v>24336.650633343997</v>
      </c>
      <c r="N142" s="781">
        <f>+$M142*(1+'Unit tariffs'!$F$2)</f>
        <v>25723.839719444604</v>
      </c>
      <c r="O142" s="779"/>
      <c r="P142" s="779"/>
      <c r="Q142" s="779"/>
    </row>
    <row r="143" spans="1:17" x14ac:dyDescent="0.35">
      <c r="A143" s="269"/>
      <c r="B143" s="221"/>
      <c r="C143" s="222"/>
      <c r="D143" s="521"/>
      <c r="E143" s="606"/>
      <c r="F143" s="379"/>
      <c r="G143" s="228"/>
      <c r="H143" s="229"/>
      <c r="I143" s="562"/>
      <c r="J143" s="271"/>
      <c r="K143" s="416"/>
      <c r="L143" s="417"/>
      <c r="M143" s="417"/>
      <c r="N143" s="781"/>
      <c r="O143" s="779"/>
      <c r="P143" s="779"/>
      <c r="Q143" s="779"/>
    </row>
    <row r="144" spans="1:17" x14ac:dyDescent="0.35">
      <c r="A144" s="269"/>
      <c r="B144" s="221" t="str">
        <f>'Other Serv'!B95</f>
        <v>8. Conversion of a Meters</v>
      </c>
      <c r="C144" s="222"/>
      <c r="D144" s="521"/>
      <c r="E144" s="606"/>
      <c r="F144" s="379"/>
      <c r="G144" s="228"/>
      <c r="H144" s="229"/>
      <c r="I144" s="562"/>
      <c r="J144" s="271"/>
      <c r="K144" s="416"/>
      <c r="L144" s="417"/>
      <c r="M144" s="417"/>
      <c r="N144" s="781"/>
      <c r="O144" s="779"/>
      <c r="P144" s="779"/>
      <c r="Q144" s="779"/>
    </row>
    <row r="145" spans="1:17" ht="25" x14ac:dyDescent="0.35">
      <c r="A145" s="269"/>
      <c r="B145" s="830" t="str">
        <f>'Other Serv'!B97</f>
        <v>8.1 Conversion of a single register meter to Single phase Pre-payment where meterbox exist on erf boundary - ( No charge for Prepayment  meter)</v>
      </c>
      <c r="C145" s="222"/>
      <c r="D145" s="521">
        <f>'Other Serv'!H120</f>
        <v>2060</v>
      </c>
      <c r="E145" s="606">
        <f t="shared" si="8"/>
        <v>2369</v>
      </c>
      <c r="F145" s="379">
        <f>'Other Serv'!I120</f>
        <v>2330</v>
      </c>
      <c r="G145" s="228">
        <f t="shared" si="5"/>
        <v>-1.6462642465175179E-2</v>
      </c>
      <c r="H145" s="229">
        <f t="shared" si="6"/>
        <v>349.5</v>
      </c>
      <c r="I145" s="562">
        <f t="shared" si="7"/>
        <v>2679.5</v>
      </c>
      <c r="J145" s="271">
        <v>9100033030537</v>
      </c>
      <c r="K145" s="416">
        <f>+$I145*(1+'Unit tariffs'!$F$2)</f>
        <v>2832.2314999999999</v>
      </c>
      <c r="L145" s="417">
        <f>+$K145*(1+'Unit tariffs'!$F$2)</f>
        <v>2993.6686954999996</v>
      </c>
      <c r="M145" s="417">
        <f>+$L145*(1+'Unit tariffs'!$F$2)</f>
        <v>3164.3078111434993</v>
      </c>
      <c r="N145" s="781">
        <f>+$M145*(1+'Unit tariffs'!$F$2)</f>
        <v>3344.6733563786784</v>
      </c>
      <c r="O145" s="779"/>
      <c r="P145" s="779"/>
      <c r="Q145" s="779"/>
    </row>
    <row r="146" spans="1:17" x14ac:dyDescent="0.35">
      <c r="A146" s="269"/>
      <c r="B146" s="221"/>
      <c r="C146" s="222"/>
      <c r="D146" s="521"/>
      <c r="E146" s="606"/>
      <c r="F146" s="379"/>
      <c r="G146" s="228"/>
      <c r="H146" s="229"/>
      <c r="I146" s="562"/>
      <c r="J146" s="271"/>
      <c r="K146" s="416"/>
      <c r="L146" s="417"/>
      <c r="M146" s="417"/>
      <c r="N146" s="781"/>
      <c r="O146" s="779"/>
      <c r="P146" s="779"/>
      <c r="Q146" s="779"/>
    </row>
    <row r="147" spans="1:17" ht="25" x14ac:dyDescent="0.35">
      <c r="A147" s="269"/>
      <c r="B147" s="830" t="str">
        <f>'Other Serv'!B129</f>
        <v>8.2 Conversion of Three phase (TOU/kWH) connection to Prepayment meter - Existing meterbox on erf boundary</v>
      </c>
      <c r="C147" s="222"/>
      <c r="D147" s="521">
        <f>'Other Serv'!H152</f>
        <v>1810</v>
      </c>
      <c r="E147" s="606">
        <f t="shared" si="8"/>
        <v>2081.5</v>
      </c>
      <c r="F147" s="379">
        <f>'Other Serv'!I152</f>
        <v>2030</v>
      </c>
      <c r="G147" s="228">
        <f t="shared" si="5"/>
        <v>-2.4741772760028827E-2</v>
      </c>
      <c r="H147" s="229">
        <f t="shared" si="6"/>
        <v>304.5</v>
      </c>
      <c r="I147" s="562">
        <f t="shared" si="7"/>
        <v>2334.5</v>
      </c>
      <c r="J147" s="271">
        <v>9100033030539</v>
      </c>
      <c r="K147" s="416">
        <f>+$I147*(1+'Unit tariffs'!$F$2)</f>
        <v>2467.5664999999999</v>
      </c>
      <c r="L147" s="417">
        <f>+$K147*(1+'Unit tariffs'!$F$2)</f>
        <v>2608.2177904999999</v>
      </c>
      <c r="M147" s="417">
        <f>+$L147*(1+'Unit tariffs'!$F$2)</f>
        <v>2756.8862045584997</v>
      </c>
      <c r="N147" s="781">
        <f>+$M147*(1+'Unit tariffs'!$F$2)</f>
        <v>2914.0287182183338</v>
      </c>
      <c r="O147" s="779"/>
      <c r="P147" s="779"/>
      <c r="Q147" s="779"/>
    </row>
    <row r="148" spans="1:17" ht="15" thickBot="1" x14ac:dyDescent="0.4">
      <c r="A148" s="269"/>
      <c r="B148" s="221"/>
      <c r="C148" s="222"/>
      <c r="D148" s="521"/>
      <c r="E148" s="606"/>
      <c r="F148" s="379"/>
      <c r="G148" s="228"/>
      <c r="H148" s="229"/>
      <c r="I148" s="562"/>
      <c r="J148" s="271"/>
      <c r="K148" s="416"/>
      <c r="L148" s="417"/>
      <c r="M148" s="417"/>
      <c r="N148" s="781"/>
      <c r="O148" s="779"/>
      <c r="P148" s="779"/>
      <c r="Q148" s="779"/>
    </row>
    <row r="149" spans="1:17" ht="100" x14ac:dyDescent="0.35">
      <c r="A149" s="269"/>
      <c r="B149" s="898" t="s">
        <v>706</v>
      </c>
      <c r="C149" s="899"/>
      <c r="D149" s="248" t="s">
        <v>251</v>
      </c>
      <c r="E149" s="606"/>
      <c r="F149" s="622" t="s">
        <v>344</v>
      </c>
      <c r="G149" s="663" t="s">
        <v>442</v>
      </c>
      <c r="H149" s="229"/>
      <c r="I149" s="562"/>
      <c r="J149" s="271"/>
      <c r="K149" s="416"/>
      <c r="L149" s="417"/>
      <c r="M149" s="417"/>
      <c r="N149" s="781"/>
      <c r="O149" s="779"/>
      <c r="P149" s="779"/>
      <c r="Q149" s="779"/>
    </row>
    <row r="150" spans="1:17" ht="87.5" x14ac:dyDescent="0.35">
      <c r="A150" s="269"/>
      <c r="B150" s="900" t="s">
        <v>707</v>
      </c>
      <c r="C150" s="901"/>
      <c r="D150" s="248" t="s">
        <v>251</v>
      </c>
      <c r="E150" s="606"/>
      <c r="F150" s="622" t="s">
        <v>344</v>
      </c>
      <c r="G150" s="664" t="s">
        <v>344</v>
      </c>
      <c r="H150" s="230"/>
      <c r="I150" s="224"/>
      <c r="J150" s="272"/>
      <c r="K150" s="408"/>
      <c r="L150" s="409"/>
      <c r="M150" s="409"/>
      <c r="N150" s="781"/>
      <c r="O150" s="779"/>
      <c r="P150" s="779"/>
      <c r="Q150" s="779"/>
    </row>
    <row r="151" spans="1:17" ht="100" x14ac:dyDescent="0.35">
      <c r="A151" s="286"/>
      <c r="B151" s="900" t="s">
        <v>708</v>
      </c>
      <c r="C151" s="901"/>
      <c r="D151" s="250" t="s">
        <v>253</v>
      </c>
      <c r="E151" s="606"/>
      <c r="F151" s="622" t="s">
        <v>343</v>
      </c>
      <c r="G151" s="664" t="s">
        <v>343</v>
      </c>
      <c r="H151" s="291"/>
      <c r="I151" s="560"/>
      <c r="J151" s="310"/>
      <c r="K151" s="412"/>
      <c r="L151" s="413"/>
      <c r="M151" s="413"/>
      <c r="N151" s="781"/>
      <c r="O151" s="779"/>
      <c r="P151" s="779"/>
      <c r="Q151" s="779"/>
    </row>
    <row r="152" spans="1:17" ht="100" x14ac:dyDescent="0.35">
      <c r="A152" s="269"/>
      <c r="B152" s="900" t="s">
        <v>709</v>
      </c>
      <c r="C152" s="901"/>
      <c r="D152" s="250" t="s">
        <v>254</v>
      </c>
      <c r="E152" s="606"/>
      <c r="F152" s="622" t="s">
        <v>255</v>
      </c>
      <c r="G152" s="664" t="s">
        <v>255</v>
      </c>
      <c r="H152" s="216"/>
      <c r="I152" s="561"/>
      <c r="J152" s="270"/>
      <c r="K152" s="414"/>
      <c r="L152" s="415"/>
      <c r="M152" s="415"/>
      <c r="N152" s="781"/>
      <c r="O152" s="779"/>
      <c r="P152" s="779"/>
      <c r="Q152" s="779"/>
    </row>
    <row r="153" spans="1:17" ht="100" x14ac:dyDescent="0.35">
      <c r="A153" s="269"/>
      <c r="B153" s="900" t="s">
        <v>710</v>
      </c>
      <c r="C153" s="901"/>
      <c r="D153" s="250" t="s">
        <v>255</v>
      </c>
      <c r="E153" s="606"/>
      <c r="F153" s="622" t="s">
        <v>342</v>
      </c>
      <c r="G153" s="663" t="s">
        <v>342</v>
      </c>
      <c r="H153" s="229"/>
      <c r="I153" s="562"/>
      <c r="J153" s="271"/>
      <c r="K153" s="416"/>
      <c r="L153" s="417"/>
      <c r="M153" s="417"/>
      <c r="N153" s="781"/>
      <c r="O153" s="779"/>
      <c r="P153" s="779"/>
      <c r="Q153" s="779"/>
    </row>
    <row r="154" spans="1:17" x14ac:dyDescent="0.35">
      <c r="A154" s="269"/>
      <c r="B154" s="221"/>
      <c r="C154" s="222"/>
      <c r="D154" s="521"/>
      <c r="E154" s="606"/>
      <c r="F154" s="379"/>
      <c r="G154" s="242"/>
      <c r="H154" s="230"/>
      <c r="I154" s="224"/>
      <c r="J154" s="272"/>
      <c r="K154" s="408"/>
      <c r="L154" s="409"/>
      <c r="M154" s="409"/>
      <c r="N154" s="781"/>
      <c r="O154" s="779"/>
      <c r="P154" s="779"/>
      <c r="Q154" s="779"/>
    </row>
    <row r="155" spans="1:17" x14ac:dyDescent="0.35">
      <c r="A155" s="269"/>
      <c r="B155" s="216"/>
      <c r="C155" s="254"/>
      <c r="D155" s="542"/>
      <c r="E155" s="626"/>
      <c r="F155" s="390"/>
      <c r="G155" s="228"/>
      <c r="H155" s="229"/>
      <c r="I155" s="562"/>
      <c r="J155" s="271"/>
      <c r="K155" s="416"/>
      <c r="L155" s="417"/>
      <c r="M155" s="417"/>
      <c r="N155" s="781"/>
      <c r="O155" s="44"/>
      <c r="P155" s="216"/>
      <c r="Q155" s="216"/>
    </row>
    <row r="156" spans="1:17" ht="30" customHeight="1" x14ac:dyDescent="0.35">
      <c r="A156" s="276" t="s">
        <v>276</v>
      </c>
      <c r="B156" s="221"/>
      <c r="C156" s="254"/>
      <c r="D156" s="542"/>
      <c r="E156" s="626"/>
      <c r="F156" s="258"/>
      <c r="G156" s="228"/>
      <c r="H156" s="229"/>
      <c r="I156" s="562"/>
      <c r="J156" s="271"/>
      <c r="K156" s="416"/>
      <c r="L156" s="417"/>
      <c r="M156" s="417"/>
      <c r="N156" s="781"/>
      <c r="O156" s="44"/>
      <c r="P156" s="216"/>
      <c r="Q156" s="216"/>
    </row>
    <row r="157" spans="1:17" ht="18" customHeight="1" x14ac:dyDescent="0.35">
      <c r="A157" s="269"/>
      <c r="B157" s="216" t="s">
        <v>265</v>
      </c>
      <c r="C157" s="254"/>
      <c r="D157" s="542"/>
      <c r="E157" s="626">
        <v>2665</v>
      </c>
      <c r="F157" s="390">
        <f>+E157*(1+'Unit tariffs'!$F$2)</f>
        <v>2816.9049999999997</v>
      </c>
      <c r="G157" s="228">
        <f t="shared" ref="G157:G159" si="9">(F157-E157)/E157</f>
        <v>5.6999999999999905E-2</v>
      </c>
      <c r="H157" s="229">
        <f t="shared" ref="H157:H159" si="10">F157*H$3</f>
        <v>422.53574999999995</v>
      </c>
      <c r="I157" s="562">
        <f t="shared" ref="I157:I159" si="11">F157+H157</f>
        <v>3239.4407499999998</v>
      </c>
      <c r="J157" s="271">
        <v>9100033030416</v>
      </c>
      <c r="K157" s="416">
        <f>+$I157*(1+'Unit tariffs'!$F$2)</f>
        <v>3424.0888727499996</v>
      </c>
      <c r="L157" s="417">
        <f>+$K157*(1+'Unit tariffs'!$F$2)</f>
        <v>3619.2619384967493</v>
      </c>
      <c r="M157" s="417">
        <f>+$L157*(1+'Unit tariffs'!$F$2)</f>
        <v>3825.5598689910639</v>
      </c>
      <c r="N157" s="781">
        <f>+$M157*(1+'Unit tariffs'!$F$2)</f>
        <v>4043.6167815235544</v>
      </c>
      <c r="O157" s="44"/>
      <c r="P157" s="216"/>
      <c r="Q157" s="216"/>
    </row>
    <row r="158" spans="1:17" x14ac:dyDescent="0.35">
      <c r="A158" s="269"/>
      <c r="B158" s="216" t="s">
        <v>266</v>
      </c>
      <c r="C158" s="254"/>
      <c r="D158" s="542"/>
      <c r="E158" s="626">
        <v>13005.2</v>
      </c>
      <c r="F158" s="390">
        <f>+E158*(1+'Unit tariffs'!$F$2)</f>
        <v>13746.4964</v>
      </c>
      <c r="G158" s="228">
        <f t="shared" si="9"/>
        <v>5.699999999999994E-2</v>
      </c>
      <c r="H158" s="229">
        <f t="shared" si="10"/>
        <v>2061.9744599999999</v>
      </c>
      <c r="I158" s="562">
        <f t="shared" si="11"/>
        <v>15808.470859999999</v>
      </c>
      <c r="J158" s="271">
        <v>9100033030416</v>
      </c>
      <c r="K158" s="416">
        <f>+$I158*(1+'Unit tariffs'!$F$2)</f>
        <v>16709.553699019998</v>
      </c>
      <c r="L158" s="417">
        <f>+$K158*(1+'Unit tariffs'!$F$2)</f>
        <v>17661.998259864136</v>
      </c>
      <c r="M158" s="417">
        <f>+$L158*(1+'Unit tariffs'!$F$2)</f>
        <v>18668.732160676391</v>
      </c>
      <c r="N158" s="781">
        <f>+$M158*(1+'Unit tariffs'!$F$2)</f>
        <v>19732.849893834944</v>
      </c>
      <c r="O158" s="44"/>
      <c r="P158" s="216"/>
      <c r="Q158" s="216"/>
    </row>
    <row r="159" spans="1:17" x14ac:dyDescent="0.35">
      <c r="A159" s="269"/>
      <c r="B159" s="216" t="s">
        <v>267</v>
      </c>
      <c r="C159" s="254"/>
      <c r="D159" s="542"/>
      <c r="E159" s="626">
        <v>65026</v>
      </c>
      <c r="F159" s="390">
        <f>+E159*(1+'Unit tariffs'!$F$2)</f>
        <v>68732.481999999989</v>
      </c>
      <c r="G159" s="228">
        <f t="shared" si="9"/>
        <v>5.6999999999999829E-2</v>
      </c>
      <c r="H159" s="229">
        <f t="shared" si="10"/>
        <v>10309.872299999997</v>
      </c>
      <c r="I159" s="562">
        <f t="shared" si="11"/>
        <v>79042.354299999992</v>
      </c>
      <c r="J159" s="271">
        <v>9100033030416</v>
      </c>
      <c r="K159" s="416">
        <f>+$I159*(1+'Unit tariffs'!$F$2)</f>
        <v>83547.768495099983</v>
      </c>
      <c r="L159" s="417">
        <f>+$K159*(1+'Unit tariffs'!$F$2)</f>
        <v>88309.991299320682</v>
      </c>
      <c r="M159" s="417">
        <f>+$L159*(1+'Unit tariffs'!$F$2)</f>
        <v>93343.66080338195</v>
      </c>
      <c r="N159" s="781">
        <f>+$M159*(1+'Unit tariffs'!$F$2)</f>
        <v>98664.249469174712</v>
      </c>
      <c r="O159" s="44"/>
      <c r="P159" s="216"/>
      <c r="Q159" s="216"/>
    </row>
    <row r="160" spans="1:17" ht="13.25" customHeight="1" x14ac:dyDescent="0.25">
      <c r="A160" s="893" t="s">
        <v>277</v>
      </c>
      <c r="B160" s="894"/>
      <c r="C160" s="895"/>
      <c r="D160" s="254"/>
      <c r="E160" s="626"/>
      <c r="F160" s="254"/>
      <c r="G160" s="228"/>
      <c r="H160" s="254"/>
      <c r="I160" s="580"/>
      <c r="J160" s="352"/>
      <c r="K160" s="434"/>
      <c r="L160" s="435"/>
      <c r="M160" s="435"/>
      <c r="N160" s="792"/>
      <c r="O160" s="44"/>
      <c r="P160" s="216"/>
      <c r="Q160" s="216"/>
    </row>
    <row r="161" spans="1:17" ht="13.25" customHeight="1" x14ac:dyDescent="0.25">
      <c r="A161" s="893" t="s">
        <v>278</v>
      </c>
      <c r="B161" s="894"/>
      <c r="C161" s="895"/>
      <c r="D161" s="254"/>
      <c r="E161" s="626"/>
      <c r="F161" s="254"/>
      <c r="G161" s="260"/>
      <c r="H161" s="254"/>
      <c r="I161" s="580"/>
      <c r="J161" s="352"/>
      <c r="K161" s="434"/>
      <c r="L161" s="435"/>
      <c r="M161" s="435"/>
      <c r="N161" s="792"/>
      <c r="O161" s="44"/>
      <c r="P161" s="216"/>
      <c r="Q161" s="216"/>
    </row>
    <row r="162" spans="1:17" x14ac:dyDescent="0.35">
      <c r="A162" s="269"/>
      <c r="B162" s="221"/>
      <c r="C162" s="222"/>
      <c r="D162" s="217"/>
      <c r="E162" s="605"/>
      <c r="F162" s="217"/>
      <c r="G162" s="219"/>
      <c r="H162" s="216"/>
      <c r="I162" s="581"/>
      <c r="J162" s="270"/>
      <c r="K162" s="414"/>
      <c r="L162" s="415"/>
      <c r="M162" s="415"/>
      <c r="N162" s="780"/>
      <c r="O162" s="44"/>
      <c r="P162" s="216"/>
      <c r="Q162" s="216"/>
    </row>
    <row r="163" spans="1:17" x14ac:dyDescent="0.35">
      <c r="A163" s="276" t="s">
        <v>106</v>
      </c>
      <c r="B163" s="227"/>
      <c r="C163" s="222"/>
      <c r="D163" s="217"/>
      <c r="E163" s="605"/>
      <c r="F163" s="217"/>
      <c r="G163" s="219"/>
      <c r="H163" s="216"/>
      <c r="I163" s="581"/>
      <c r="J163" s="270"/>
      <c r="K163" s="414"/>
      <c r="L163" s="415"/>
      <c r="M163" s="415"/>
      <c r="N163" s="780"/>
      <c r="O163" s="44"/>
      <c r="P163" s="216"/>
      <c r="Q163" s="216"/>
    </row>
    <row r="164" spans="1:17" x14ac:dyDescent="0.35">
      <c r="A164" s="276" t="s">
        <v>130</v>
      </c>
      <c r="B164" s="227"/>
      <c r="C164" s="222"/>
      <c r="D164" s="217"/>
      <c r="E164" s="605"/>
      <c r="F164" s="217"/>
      <c r="G164" s="223"/>
      <c r="H164" s="216"/>
      <c r="I164" s="581"/>
      <c r="J164" s="270"/>
      <c r="K164" s="414"/>
      <c r="L164" s="415"/>
      <c r="M164" s="415"/>
      <c r="N164" s="780"/>
      <c r="O164" s="44"/>
      <c r="P164" s="216"/>
      <c r="Q164" s="216"/>
    </row>
    <row r="165" spans="1:17" ht="19.5" customHeight="1" x14ac:dyDescent="0.35">
      <c r="A165" s="276" t="s">
        <v>107</v>
      </c>
      <c r="B165" s="227"/>
      <c r="C165" s="222"/>
      <c r="D165" s="217"/>
      <c r="E165" s="605"/>
      <c r="F165" s="217"/>
      <c r="G165" s="219"/>
      <c r="H165" s="216"/>
      <c r="I165" s="581"/>
      <c r="J165" s="270"/>
      <c r="K165" s="414"/>
      <c r="L165" s="415"/>
      <c r="M165" s="415"/>
      <c r="N165" s="780"/>
      <c r="O165" s="44"/>
      <c r="P165" s="216"/>
      <c r="Q165" s="216"/>
    </row>
    <row r="166" spans="1:17" x14ac:dyDescent="0.35">
      <c r="A166" s="269" t="s">
        <v>110</v>
      </c>
      <c r="B166" s="221"/>
      <c r="C166" s="222"/>
      <c r="D166" s="217"/>
      <c r="E166" s="605"/>
      <c r="F166" s="217"/>
      <c r="G166" s="219"/>
      <c r="H166" s="216"/>
      <c r="I166" s="581"/>
      <c r="J166" s="270"/>
      <c r="K166" s="414"/>
      <c r="L166" s="415"/>
      <c r="M166" s="415"/>
      <c r="N166" s="780"/>
      <c r="O166" s="44"/>
      <c r="P166" s="216"/>
      <c r="Q166" s="216"/>
    </row>
    <row r="167" spans="1:17" x14ac:dyDescent="0.35">
      <c r="A167" s="269"/>
      <c r="B167" s="221"/>
      <c r="C167" s="222"/>
      <c r="D167" s="217"/>
      <c r="E167" s="605"/>
      <c r="F167" s="217"/>
      <c r="G167" s="219"/>
      <c r="H167" s="216"/>
      <c r="I167" s="581"/>
      <c r="J167" s="270"/>
      <c r="K167" s="414"/>
      <c r="L167" s="415"/>
      <c r="M167" s="415"/>
      <c r="N167" s="780"/>
      <c r="O167" s="44"/>
      <c r="P167" s="216"/>
      <c r="Q167" s="216"/>
    </row>
    <row r="168" spans="1:17" x14ac:dyDescent="0.35">
      <c r="A168" s="276" t="s">
        <v>273</v>
      </c>
      <c r="B168" s="221"/>
      <c r="C168" s="222"/>
      <c r="D168" s="217"/>
      <c r="E168" s="605"/>
      <c r="F168" s="217"/>
      <c r="G168" s="219"/>
      <c r="H168" s="216"/>
      <c r="I168" s="581"/>
      <c r="J168" s="270"/>
      <c r="K168" s="414"/>
      <c r="L168" s="415"/>
      <c r="M168" s="415"/>
      <c r="N168" s="780"/>
      <c r="O168" s="44"/>
      <c r="P168" s="216"/>
      <c r="Q168" s="216"/>
    </row>
    <row r="169" spans="1:17" x14ac:dyDescent="0.35">
      <c r="A169" s="276" t="s">
        <v>271</v>
      </c>
      <c r="B169" s="221"/>
      <c r="C169" s="222"/>
      <c r="D169" s="217"/>
      <c r="E169" s="605"/>
      <c r="F169" s="217"/>
      <c r="G169" s="219"/>
      <c r="H169" s="216"/>
      <c r="I169" s="581"/>
      <c r="J169" s="270"/>
      <c r="K169" s="414"/>
      <c r="L169" s="415"/>
      <c r="M169" s="415"/>
      <c r="N169" s="780"/>
      <c r="O169" s="44"/>
      <c r="P169" s="216"/>
      <c r="Q169" s="216"/>
    </row>
    <row r="170" spans="1:17" ht="15" thickBot="1" x14ac:dyDescent="0.4">
      <c r="A170" s="277" t="s">
        <v>272</v>
      </c>
      <c r="B170" s="278"/>
      <c r="C170" s="279"/>
      <c r="D170" s="280"/>
      <c r="E170" s="608"/>
      <c r="F170" s="280"/>
      <c r="G170" s="282"/>
      <c r="H170" s="283"/>
      <c r="I170" s="582"/>
      <c r="J170" s="285"/>
      <c r="K170" s="420"/>
      <c r="L170" s="421"/>
      <c r="M170" s="421"/>
      <c r="N170" s="787"/>
      <c r="O170" s="44"/>
      <c r="P170" s="216"/>
      <c r="Q170" s="216"/>
    </row>
    <row r="171" spans="1:17" x14ac:dyDescent="0.35">
      <c r="F171" s="199"/>
      <c r="I171" s="583"/>
    </row>
    <row r="172" spans="1:17" x14ac:dyDescent="0.35">
      <c r="F172" s="199"/>
      <c r="I172" s="583"/>
    </row>
    <row r="173" spans="1:17" x14ac:dyDescent="0.35">
      <c r="F173" s="199"/>
      <c r="I173" s="583"/>
    </row>
    <row r="174" spans="1:17" x14ac:dyDescent="0.35">
      <c r="I174" s="583"/>
    </row>
    <row r="175" spans="1:17" x14ac:dyDescent="0.35">
      <c r="I175" s="583"/>
    </row>
  </sheetData>
  <mergeCells count="8">
    <mergeCell ref="A160:C160"/>
    <mergeCell ref="A161:C161"/>
    <mergeCell ref="O2:Q5"/>
    <mergeCell ref="B149:C149"/>
    <mergeCell ref="B150:C150"/>
    <mergeCell ref="B151:C151"/>
    <mergeCell ref="B152:C152"/>
    <mergeCell ref="B153:C153"/>
  </mergeCells>
  <pageMargins left="0.25" right="0.25" top="0.75" bottom="0.75" header="0.3" footer="0.3"/>
  <pageSetup paperSize="8" scale="74" fitToHeight="0" orientation="landscape" r:id="rId1"/>
  <headerFooter>
    <oddHeader>&amp;C&amp;"Arial,Bold"&amp;12Approved Electrical Service Tariffs for CENTLEC (SOC) Ltd for the 2023/2024 finincial year</oddHeader>
    <oddFooter>&amp;C&amp;F&amp;R&amp;"Arial,Bold"&amp;12Page &amp;P</oddFooter>
  </headerFooter>
  <rowBreaks count="3" manualBreakCount="3">
    <brk id="92" max="14" man="1"/>
    <brk id="110" max="14" man="1"/>
    <brk id="130" max="14"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12</vt:i4>
      </vt:variant>
    </vt:vector>
  </HeadingPairs>
  <TitlesOfParts>
    <vt:vector size="25" baseType="lpstr">
      <vt:lpstr>Unit tariffs</vt:lpstr>
      <vt:lpstr>Calc Sheet 23_24</vt:lpstr>
      <vt:lpstr>New Conn</vt:lpstr>
      <vt:lpstr>Temp Conn</vt:lpstr>
      <vt:lpstr>Upgrade </vt:lpstr>
      <vt:lpstr>Other Serv</vt:lpstr>
      <vt:lpstr>Summary ALL 2023_24 </vt:lpstr>
      <vt:lpstr>Summary Mangaung 2026_27</vt:lpstr>
      <vt:lpstr>Summary Mangaung 2025_26 (2)</vt:lpstr>
      <vt:lpstr>Summary Mohokare 2024_25 </vt:lpstr>
      <vt:lpstr>Summary Kopanong 2022_23</vt:lpstr>
      <vt:lpstr>Summary Mohokare 2020_23</vt:lpstr>
      <vt:lpstr>Summary Mantsopa 2020_21</vt:lpstr>
      <vt:lpstr>'Calc Sheet 23_24'!Print_Area</vt:lpstr>
      <vt:lpstr>'New Conn'!Print_Area</vt:lpstr>
      <vt:lpstr>'Other Serv'!Print_Area</vt:lpstr>
      <vt:lpstr>'Summary ALL 2023_24 '!Print_Area</vt:lpstr>
      <vt:lpstr>'Summary Kopanong 2022_23'!Print_Area</vt:lpstr>
      <vt:lpstr>'Summary Mangaung 2025_26 (2)'!Print_Area</vt:lpstr>
      <vt:lpstr>'Summary Mangaung 2026_27'!Print_Area</vt:lpstr>
      <vt:lpstr>'Summary Mohokare 2024_25 '!Print_Area</vt:lpstr>
      <vt:lpstr>'Temp Conn'!Print_Area</vt:lpstr>
      <vt:lpstr>'Unit tariffs'!Print_Area</vt:lpstr>
      <vt:lpstr>'Upgrade '!Print_Area</vt:lpstr>
      <vt:lpstr>'Unit tariffs'!Print_Titles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Manager Connections</dc:creator>
  <cp:lastModifiedBy>Ramabilikoe Mosola</cp:lastModifiedBy>
  <cp:lastPrinted>2025-06-24T11:50:05Z</cp:lastPrinted>
  <dcterms:created xsi:type="dcterms:W3CDTF">2002-01-23T13:38:03Z</dcterms:created>
  <dcterms:modified xsi:type="dcterms:W3CDTF">2026-03-12T17:08:22Z</dcterms:modified>
  <cp:contentStatus/>
</cp:coreProperties>
</file>