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1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2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21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22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tables/table2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tables/table24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tables/table25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tables/table26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tables/table27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tables/table28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tables/table2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tables/table30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tables/table31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entllec-my.sharepoint.com/personal/simphiwe_sixeki_centlec_co_za/Documents/InspectionFormTest/TariffRelatedStories/Tariff Application 2026-2027/"/>
    </mc:Choice>
  </mc:AlternateContent>
  <xr:revisionPtr revIDLastSave="11" documentId="8_{BFA4BC9F-60D7-459A-BF8E-1BCF9ABBC713}" xr6:coauthVersionLast="47" xr6:coauthVersionMax="47" xr10:uidLastSave="{DBC35964-C109-4A42-B0A9-3FB354C85F89}"/>
  <bookViews>
    <workbookView xWindow="-108" yWindow="-108" windowWidth="23256" windowHeight="13896" tabRatio="923" firstSheet="37" activeTab="39" xr2:uid="{00000000-000D-0000-FFFF-FFFF00000000}"/>
  </bookViews>
  <sheets>
    <sheet name="SUMMARY &amp; FBE" sheetId="6" state="hidden" r:id="rId1"/>
    <sheet name="MMM 20182019 Bulk Purchases" sheetId="1" state="hidden" r:id="rId2"/>
    <sheet name="MMM 20182019 BulkPurchases R91m" sheetId="2" state="hidden" r:id="rId3"/>
    <sheet name="MMM 20212022" sheetId="3" state="hidden" r:id="rId4"/>
    <sheet name="MMM 20202021 Bulk Purchases" sheetId="7" state="hidden" r:id="rId5"/>
    <sheet name="MMM 20212022 Bulk Purchases" sheetId="4" state="hidden" r:id="rId6"/>
    <sheet name="MMM 20222023 Bulk Purchases" sheetId="5" state="hidden" r:id="rId7"/>
    <sheet name="Table010 (Page 2)" sheetId="14" state="hidden" r:id="rId8"/>
    <sheet name="Table010 (Page 2) (3)" sheetId="16" state="hidden" r:id="rId9"/>
    <sheet name="BfnProj" sheetId="12" state="hidden" r:id="rId10"/>
    <sheet name="BotsProjec" sheetId="17" state="hidden" r:id="rId11"/>
    <sheet name="ThabPr" sheetId="18" state="hidden" r:id="rId12"/>
    <sheet name="vanst" sheetId="19" state="hidden" r:id="rId13"/>
    <sheet name="dewe" sheetId="20" state="hidden" r:id="rId14"/>
    <sheet name="Wep" sheetId="21" state="hidden" r:id="rId15"/>
    <sheet name="kana" sheetId="22" state="hidden" r:id="rId16"/>
    <sheet name="igom" sheetId="24" state="hidden" r:id="rId17"/>
    <sheet name="Sheet2" sheetId="25" state="hidden" r:id="rId18"/>
    <sheet name="Sheet3" sheetId="26" state="hidden" r:id="rId19"/>
    <sheet name="Sheet4" sheetId="27" state="hidden" r:id="rId20"/>
    <sheet name="Sheet5" sheetId="28" state="hidden" r:id="rId21"/>
    <sheet name="Sheet6" sheetId="29" state="hidden" r:id="rId22"/>
    <sheet name="Sheet9" sheetId="32" state="hidden" r:id="rId23"/>
    <sheet name="Sheet10" sheetId="36" state="hidden" r:id="rId24"/>
    <sheet name="Sheet13" sheetId="38" state="hidden" r:id="rId25"/>
    <sheet name="Sheet8" sheetId="31" state="hidden" r:id="rId26"/>
    <sheet name="Sheet7" sheetId="33" state="hidden" r:id="rId27"/>
    <sheet name="Sheet11" sheetId="35" state="hidden" r:id="rId28"/>
    <sheet name="Sheet12" sheetId="37" state="hidden" r:id="rId29"/>
    <sheet name="Sheet14" sheetId="39" state="hidden" r:id="rId30"/>
    <sheet name="Sheet15" sheetId="40" state="hidden" r:id="rId31"/>
    <sheet name="Sheet1" sheetId="11" state="hidden" r:id="rId32"/>
    <sheet name="MMM 20232024 Bulk Purchases" sheetId="8" state="hidden" r:id="rId33"/>
    <sheet name="MMM 20242025 Bulk Purchases1stP" sheetId="9" state="hidden" r:id="rId34"/>
    <sheet name="20242025BudgetAdj R81 mil" sheetId="42" r:id="rId35"/>
    <sheet name="Sheet16" sheetId="44" state="hidden" r:id="rId36"/>
    <sheet name="20242025BudgetAdjustment" sheetId="41" r:id="rId37"/>
    <sheet name="MMM 20252026 Actual" sheetId="10" r:id="rId38"/>
    <sheet name="MMM 20252026 Projections " sheetId="45" r:id="rId39"/>
    <sheet name="MMM 20262027 Bulk Purchases" sheetId="23" r:id="rId40"/>
    <sheet name="MMM 20272028 Bulk Purchases" sheetId="43" r:id="rId41"/>
    <sheet name="MMM 20282029 Bulk Purchases" sheetId="47" r:id="rId42"/>
    <sheet name="MMM 20292030" sheetId="48" r:id="rId43"/>
    <sheet name="MMM 20302031" sheetId="49" r:id="rId44"/>
    <sheet name="MMM 20312032" sheetId="50" r:id="rId45"/>
    <sheet name="MMM 20322033" sheetId="51" r:id="rId46"/>
    <sheet name="MMM 20332034" sheetId="52" r:id="rId47"/>
    <sheet name="MMM 20342035" sheetId="53" r:id="rId48"/>
    <sheet name="Sheet17" sheetId="46" state="hidden" r:id="rId49"/>
  </sheets>
  <externalReferences>
    <externalReference r:id="rId50"/>
  </externalReferences>
  <definedNames>
    <definedName name="ExternalData_1" localSheetId="7" hidden="1">'Table010 (Page 2)'!$A$1:$F$41</definedName>
    <definedName name="ExternalData_1" localSheetId="8" hidden="1">'Table010 (Page 2) (3)'!$A$1:$F$38</definedName>
    <definedName name="_xlnm.Print_Area" localSheetId="32">'MMM 20232024 Bulk Purchases'!$A$1:$N$34</definedName>
    <definedName name="_xlnm.Print_Area" localSheetId="37">'MMM 20252026 Actual'!$A$1:$N$39</definedName>
    <definedName name="_xlnm.Print_Area" localSheetId="39">'MMM 20262027 Bulk Purchases'!$A$1:$N$34</definedName>
    <definedName name="_xlnm.Print_Area" localSheetId="40">'MMM 20272028 Bulk Purchases'!$A$1:$N$34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1" l="1"/>
  <c r="H13" i="41"/>
  <c r="B24" i="53"/>
  <c r="B32" i="53"/>
  <c r="A31" i="53"/>
  <c r="A26" i="53"/>
  <c r="M18" i="53"/>
  <c r="L18" i="53"/>
  <c r="K18" i="53"/>
  <c r="J18" i="53"/>
  <c r="I18" i="53"/>
  <c r="H18" i="53"/>
  <c r="G18" i="53"/>
  <c r="F18" i="53"/>
  <c r="E18" i="53"/>
  <c r="D18" i="53"/>
  <c r="C18" i="53"/>
  <c r="B18" i="53"/>
  <c r="B32" i="52"/>
  <c r="A31" i="52"/>
  <c r="A26" i="52"/>
  <c r="B24" i="52"/>
  <c r="M18" i="52"/>
  <c r="L18" i="52"/>
  <c r="K18" i="52"/>
  <c r="J18" i="52"/>
  <c r="I18" i="52"/>
  <c r="H18" i="52"/>
  <c r="G18" i="52"/>
  <c r="F18" i="52"/>
  <c r="E18" i="52"/>
  <c r="D18" i="52"/>
  <c r="C18" i="52"/>
  <c r="B18" i="52"/>
  <c r="B32" i="51"/>
  <c r="A31" i="51"/>
  <c r="A26" i="51"/>
  <c r="B24" i="51"/>
  <c r="M18" i="51"/>
  <c r="L18" i="51"/>
  <c r="K18" i="51"/>
  <c r="J18" i="51"/>
  <c r="I18" i="51"/>
  <c r="H18" i="51"/>
  <c r="G18" i="51"/>
  <c r="F18" i="51"/>
  <c r="E18" i="51"/>
  <c r="D18" i="51"/>
  <c r="C18" i="51"/>
  <c r="B18" i="51"/>
  <c r="B32" i="50"/>
  <c r="A31" i="50"/>
  <c r="A26" i="50"/>
  <c r="B24" i="50"/>
  <c r="M18" i="50"/>
  <c r="L18" i="50"/>
  <c r="K18" i="50"/>
  <c r="J18" i="50"/>
  <c r="I18" i="50"/>
  <c r="H18" i="50"/>
  <c r="G18" i="50"/>
  <c r="F18" i="50"/>
  <c r="E18" i="50"/>
  <c r="D18" i="50"/>
  <c r="C18" i="50"/>
  <c r="B18" i="50"/>
  <c r="B32" i="49"/>
  <c r="A31" i="49"/>
  <c r="A26" i="49"/>
  <c r="B24" i="49"/>
  <c r="M18" i="49"/>
  <c r="L18" i="49"/>
  <c r="K18" i="49"/>
  <c r="J18" i="49"/>
  <c r="I18" i="49"/>
  <c r="H18" i="49"/>
  <c r="G18" i="49"/>
  <c r="F18" i="49"/>
  <c r="E18" i="49"/>
  <c r="D18" i="49"/>
  <c r="C18" i="49"/>
  <c r="B18" i="49"/>
  <c r="B32" i="48"/>
  <c r="A31" i="48"/>
  <c r="A26" i="48"/>
  <c r="B24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B32" i="47"/>
  <c r="A31" i="47"/>
  <c r="A26" i="47"/>
  <c r="B24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N4" i="10" l="1"/>
  <c r="B10" i="10"/>
  <c r="C29" i="10"/>
  <c r="C34" i="10" s="1"/>
  <c r="B33" i="45"/>
  <c r="A33" i="45"/>
  <c r="A32" i="45"/>
  <c r="B24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M9" i="45"/>
  <c r="L9" i="45"/>
  <c r="K9" i="45"/>
  <c r="J9" i="45"/>
  <c r="I9" i="45"/>
  <c r="H9" i="45"/>
  <c r="G9" i="45"/>
  <c r="F9" i="45"/>
  <c r="E9" i="45"/>
  <c r="D9" i="45"/>
  <c r="C9" i="45"/>
  <c r="B9" i="45"/>
  <c r="M8" i="45"/>
  <c r="L8" i="45"/>
  <c r="K8" i="45"/>
  <c r="J8" i="45"/>
  <c r="I8" i="45"/>
  <c r="H8" i="45"/>
  <c r="G8" i="45"/>
  <c r="F8" i="45"/>
  <c r="E8" i="45"/>
  <c r="D8" i="45"/>
  <c r="C8" i="45"/>
  <c r="B8" i="45"/>
  <c r="M7" i="45"/>
  <c r="L7" i="45"/>
  <c r="K7" i="45"/>
  <c r="J7" i="45"/>
  <c r="I7" i="45"/>
  <c r="H7" i="45"/>
  <c r="G7" i="45"/>
  <c r="F7" i="45"/>
  <c r="E7" i="45"/>
  <c r="D7" i="45"/>
  <c r="C7" i="45"/>
  <c r="B7" i="45"/>
  <c r="M6" i="45"/>
  <c r="L6" i="45"/>
  <c r="K6" i="45"/>
  <c r="J6" i="45"/>
  <c r="I6" i="45"/>
  <c r="H6" i="45"/>
  <c r="G6" i="45"/>
  <c r="F6" i="45"/>
  <c r="E6" i="45"/>
  <c r="D6" i="45"/>
  <c r="C6" i="45"/>
  <c r="B6" i="45"/>
  <c r="M5" i="45"/>
  <c r="L5" i="45"/>
  <c r="K5" i="45"/>
  <c r="J5" i="45"/>
  <c r="I5" i="45"/>
  <c r="H5" i="45"/>
  <c r="G5" i="45"/>
  <c r="F5" i="45"/>
  <c r="E5" i="45"/>
  <c r="D5" i="45"/>
  <c r="C5" i="45"/>
  <c r="B5" i="45"/>
  <c r="M4" i="45"/>
  <c r="L4" i="45"/>
  <c r="K4" i="45"/>
  <c r="J4" i="45"/>
  <c r="I4" i="45"/>
  <c r="H4" i="45"/>
  <c r="G4" i="45"/>
  <c r="F4" i="45"/>
  <c r="E4" i="45"/>
  <c r="D4" i="45"/>
  <c r="C4" i="45"/>
  <c r="B4" i="45"/>
  <c r="F10" i="45" l="1"/>
  <c r="E10" i="45"/>
  <c r="C23" i="45"/>
  <c r="G10" i="45"/>
  <c r="H10" i="45"/>
  <c r="H23" i="45"/>
  <c r="I10" i="45"/>
  <c r="I23" i="45"/>
  <c r="L23" i="45"/>
  <c r="M23" i="45"/>
  <c r="B23" i="45"/>
  <c r="D10" i="45"/>
  <c r="J23" i="45"/>
  <c r="J10" i="45"/>
  <c r="J25" i="45" s="1"/>
  <c r="L10" i="45"/>
  <c r="M10" i="45"/>
  <c r="N4" i="45"/>
  <c r="N5" i="45"/>
  <c r="N8" i="45"/>
  <c r="N21" i="45"/>
  <c r="N7" i="45"/>
  <c r="N20" i="45"/>
  <c r="E23" i="45"/>
  <c r="E25" i="45" s="1"/>
  <c r="G23" i="45"/>
  <c r="G25" i="45" s="1"/>
  <c r="K10" i="45"/>
  <c r="K23" i="45"/>
  <c r="N6" i="45"/>
  <c r="N9" i="45"/>
  <c r="C10" i="45"/>
  <c r="N22" i="45"/>
  <c r="D23" i="45"/>
  <c r="F23" i="45"/>
  <c r="F25" i="45" s="1"/>
  <c r="B10" i="45"/>
  <c r="N19" i="45"/>
  <c r="C25" i="45" l="1"/>
  <c r="I25" i="45"/>
  <c r="B25" i="45"/>
  <c r="D25" i="45"/>
  <c r="M25" i="45"/>
  <c r="L25" i="45"/>
  <c r="H25" i="45"/>
  <c r="K25" i="45"/>
  <c r="N23" i="45"/>
  <c r="B27" i="45" s="1"/>
  <c r="B29" i="45" s="1"/>
  <c r="N10" i="45"/>
  <c r="B13" i="45" l="1"/>
  <c r="N25" i="45"/>
  <c r="B15" i="45" l="1"/>
  <c r="B32" i="45"/>
  <c r="C5" i="46" s="1"/>
  <c r="M5" i="44"/>
  <c r="M4" i="44"/>
  <c r="M3" i="44"/>
  <c r="E3" i="44"/>
  <c r="E6" i="44"/>
  <c r="F6" i="44" s="1"/>
  <c r="D6" i="44"/>
  <c r="C6" i="44"/>
  <c r="E5" i="44"/>
  <c r="F5" i="44" s="1"/>
  <c r="E4" i="44"/>
  <c r="F4" i="44" s="1"/>
  <c r="F3" i="44"/>
  <c r="L28" i="42"/>
  <c r="K28" i="42"/>
  <c r="B35" i="45" l="1"/>
  <c r="E32" i="45"/>
  <c r="C40" i="42"/>
  <c r="H13" i="42"/>
  <c r="H23" i="41" l="1"/>
  <c r="I23" i="41"/>
  <c r="J23" i="41"/>
  <c r="K23" i="41"/>
  <c r="L23" i="41"/>
  <c r="M23" i="41"/>
  <c r="H10" i="41"/>
  <c r="I10" i="41"/>
  <c r="J10" i="41"/>
  <c r="K10" i="41"/>
  <c r="L10" i="41"/>
  <c r="K4" i="23" l="1"/>
  <c r="K4" i="43" s="1"/>
  <c r="K4" i="47" s="1"/>
  <c r="N22" i="42"/>
  <c r="M4" i="23"/>
  <c r="M4" i="43" s="1"/>
  <c r="M4" i="47" s="1"/>
  <c r="C5" i="23"/>
  <c r="C5" i="43" s="1"/>
  <c r="C5" i="47" s="1"/>
  <c r="D5" i="23"/>
  <c r="D5" i="43" s="1"/>
  <c r="D5" i="47" s="1"/>
  <c r="E5" i="23"/>
  <c r="E5" i="43" s="1"/>
  <c r="E5" i="47" s="1"/>
  <c r="F5" i="23"/>
  <c r="F5" i="43" s="1"/>
  <c r="F5" i="47" s="1"/>
  <c r="G5" i="23"/>
  <c r="G5" i="43" s="1"/>
  <c r="G5" i="47" s="1"/>
  <c r="H5" i="23"/>
  <c r="H5" i="43" s="1"/>
  <c r="H5" i="47" s="1"/>
  <c r="I5" i="23"/>
  <c r="I5" i="43" s="1"/>
  <c r="I5" i="47" s="1"/>
  <c r="J5" i="23"/>
  <c r="J5" i="43" s="1"/>
  <c r="J5" i="47" s="1"/>
  <c r="K5" i="23"/>
  <c r="K5" i="43" s="1"/>
  <c r="K5" i="47" s="1"/>
  <c r="L5" i="23"/>
  <c r="L5" i="43" s="1"/>
  <c r="L5" i="47" s="1"/>
  <c r="M5" i="23"/>
  <c r="M5" i="43" s="1"/>
  <c r="M5" i="47" s="1"/>
  <c r="C6" i="23"/>
  <c r="C6" i="43" s="1"/>
  <c r="C6" i="47" s="1"/>
  <c r="D6" i="23"/>
  <c r="D6" i="43" s="1"/>
  <c r="D6" i="47" s="1"/>
  <c r="E6" i="23"/>
  <c r="E6" i="43" s="1"/>
  <c r="E6" i="47" s="1"/>
  <c r="F6" i="23"/>
  <c r="F6" i="43" s="1"/>
  <c r="F6" i="47" s="1"/>
  <c r="G6" i="23"/>
  <c r="G6" i="43" s="1"/>
  <c r="G6" i="47" s="1"/>
  <c r="H6" i="23"/>
  <c r="H6" i="43" s="1"/>
  <c r="H6" i="47" s="1"/>
  <c r="I6" i="23"/>
  <c r="I6" i="43" s="1"/>
  <c r="I6" i="47" s="1"/>
  <c r="J6" i="23"/>
  <c r="J6" i="43" s="1"/>
  <c r="J6" i="47" s="1"/>
  <c r="K6" i="23"/>
  <c r="K6" i="43" s="1"/>
  <c r="K6" i="47" s="1"/>
  <c r="L6" i="23"/>
  <c r="L6" i="43" s="1"/>
  <c r="L6" i="47" s="1"/>
  <c r="M6" i="23"/>
  <c r="M6" i="43" s="1"/>
  <c r="M6" i="47" s="1"/>
  <c r="C7" i="23"/>
  <c r="C7" i="43" s="1"/>
  <c r="C7" i="47" s="1"/>
  <c r="D7" i="23"/>
  <c r="D7" i="43" s="1"/>
  <c r="D7" i="47" s="1"/>
  <c r="E7" i="23"/>
  <c r="E7" i="43" s="1"/>
  <c r="E7" i="47" s="1"/>
  <c r="F7" i="23"/>
  <c r="F7" i="43" s="1"/>
  <c r="F7" i="47" s="1"/>
  <c r="G7" i="23"/>
  <c r="G7" i="43" s="1"/>
  <c r="G7" i="47" s="1"/>
  <c r="H7" i="23"/>
  <c r="H7" i="43" s="1"/>
  <c r="H7" i="47" s="1"/>
  <c r="I7" i="23"/>
  <c r="I7" i="43" s="1"/>
  <c r="I7" i="47" s="1"/>
  <c r="J7" i="23"/>
  <c r="J7" i="43" s="1"/>
  <c r="J7" i="47" s="1"/>
  <c r="K7" i="23"/>
  <c r="K7" i="43" s="1"/>
  <c r="K7" i="47" s="1"/>
  <c r="L7" i="23"/>
  <c r="L7" i="43" s="1"/>
  <c r="L7" i="47" s="1"/>
  <c r="M7" i="23"/>
  <c r="M7" i="43" s="1"/>
  <c r="M7" i="47" s="1"/>
  <c r="C8" i="23"/>
  <c r="C8" i="43" s="1"/>
  <c r="C8" i="47" s="1"/>
  <c r="D8" i="23"/>
  <c r="D8" i="43" s="1"/>
  <c r="D8" i="47" s="1"/>
  <c r="E8" i="23"/>
  <c r="E8" i="43" s="1"/>
  <c r="E8" i="47" s="1"/>
  <c r="F8" i="23"/>
  <c r="F8" i="43" s="1"/>
  <c r="F8" i="47" s="1"/>
  <c r="G8" i="23"/>
  <c r="G8" i="43" s="1"/>
  <c r="G8" i="47" s="1"/>
  <c r="H8" i="23"/>
  <c r="H8" i="43" s="1"/>
  <c r="H8" i="47" s="1"/>
  <c r="I8" i="23"/>
  <c r="I8" i="43" s="1"/>
  <c r="I8" i="47" s="1"/>
  <c r="J8" i="23"/>
  <c r="J8" i="43" s="1"/>
  <c r="J8" i="47" s="1"/>
  <c r="K8" i="23"/>
  <c r="K8" i="43" s="1"/>
  <c r="K8" i="47" s="1"/>
  <c r="L8" i="23"/>
  <c r="L8" i="43" s="1"/>
  <c r="L8" i="47" s="1"/>
  <c r="M8" i="23"/>
  <c r="M8" i="43" s="1"/>
  <c r="M8" i="47" s="1"/>
  <c r="C9" i="23"/>
  <c r="C9" i="43" s="1"/>
  <c r="C9" i="47" s="1"/>
  <c r="D9" i="23"/>
  <c r="D9" i="43" s="1"/>
  <c r="D9" i="47" s="1"/>
  <c r="E9" i="23"/>
  <c r="E9" i="43" s="1"/>
  <c r="E9" i="47" s="1"/>
  <c r="F9" i="23"/>
  <c r="F9" i="43" s="1"/>
  <c r="F9" i="47" s="1"/>
  <c r="G9" i="23"/>
  <c r="G9" i="43" s="1"/>
  <c r="G9" i="47" s="1"/>
  <c r="H9" i="23"/>
  <c r="H9" i="43" s="1"/>
  <c r="H9" i="47" s="1"/>
  <c r="I9" i="23"/>
  <c r="I9" i="43" s="1"/>
  <c r="I9" i="47" s="1"/>
  <c r="J9" i="23"/>
  <c r="J9" i="43" s="1"/>
  <c r="J9" i="47" s="1"/>
  <c r="K9" i="23"/>
  <c r="K9" i="43" s="1"/>
  <c r="K9" i="47" s="1"/>
  <c r="L9" i="23"/>
  <c r="L9" i="43" s="1"/>
  <c r="L9" i="47" s="1"/>
  <c r="M9" i="23"/>
  <c r="M9" i="43" s="1"/>
  <c r="M9" i="47" s="1"/>
  <c r="B5" i="23"/>
  <c r="B5" i="43" s="1"/>
  <c r="B5" i="47" s="1"/>
  <c r="B6" i="23"/>
  <c r="B6" i="43" s="1"/>
  <c r="B6" i="47" s="1"/>
  <c r="B7" i="23"/>
  <c r="B7" i="43" s="1"/>
  <c r="B7" i="47" s="1"/>
  <c r="B8" i="23"/>
  <c r="B8" i="43" s="1"/>
  <c r="B8" i="47" s="1"/>
  <c r="B9" i="23"/>
  <c r="B9" i="43" s="1"/>
  <c r="B9" i="47" s="1"/>
  <c r="C19" i="23"/>
  <c r="C19" i="43" s="1"/>
  <c r="C19" i="47" s="1"/>
  <c r="D19" i="23"/>
  <c r="D19" i="43" s="1"/>
  <c r="D19" i="47" s="1"/>
  <c r="E19" i="23"/>
  <c r="E19" i="43" s="1"/>
  <c r="E19" i="47" s="1"/>
  <c r="F19" i="23"/>
  <c r="F19" i="43" s="1"/>
  <c r="F19" i="47" s="1"/>
  <c r="G19" i="23"/>
  <c r="G19" i="43" s="1"/>
  <c r="G19" i="47" s="1"/>
  <c r="H19" i="23"/>
  <c r="H19" i="43" s="1"/>
  <c r="H19" i="47" s="1"/>
  <c r="I19" i="23"/>
  <c r="I19" i="43" s="1"/>
  <c r="I19" i="47" s="1"/>
  <c r="J19" i="23"/>
  <c r="J19" i="43" s="1"/>
  <c r="J19" i="47" s="1"/>
  <c r="K19" i="23"/>
  <c r="K19" i="43" s="1"/>
  <c r="K19" i="47" s="1"/>
  <c r="L19" i="23"/>
  <c r="L19" i="43" s="1"/>
  <c r="L19" i="47" s="1"/>
  <c r="M19" i="23"/>
  <c r="M19" i="43" s="1"/>
  <c r="M19" i="47" s="1"/>
  <c r="C20" i="23"/>
  <c r="C20" i="43" s="1"/>
  <c r="C20" i="47" s="1"/>
  <c r="D20" i="23"/>
  <c r="D20" i="43" s="1"/>
  <c r="D20" i="47" s="1"/>
  <c r="E20" i="23"/>
  <c r="E20" i="43" s="1"/>
  <c r="E20" i="47" s="1"/>
  <c r="F20" i="23"/>
  <c r="F20" i="43" s="1"/>
  <c r="F20" i="47" s="1"/>
  <c r="G20" i="23"/>
  <c r="G20" i="43" s="1"/>
  <c r="G20" i="47" s="1"/>
  <c r="H20" i="23"/>
  <c r="H20" i="43" s="1"/>
  <c r="H20" i="47" s="1"/>
  <c r="I20" i="23"/>
  <c r="I20" i="43" s="1"/>
  <c r="I20" i="47" s="1"/>
  <c r="J20" i="23"/>
  <c r="J20" i="43" s="1"/>
  <c r="J20" i="47" s="1"/>
  <c r="K20" i="23"/>
  <c r="K20" i="43" s="1"/>
  <c r="K20" i="47" s="1"/>
  <c r="L20" i="23"/>
  <c r="L20" i="43" s="1"/>
  <c r="L20" i="47" s="1"/>
  <c r="M20" i="23"/>
  <c r="M20" i="43" s="1"/>
  <c r="M20" i="47" s="1"/>
  <c r="C21" i="23"/>
  <c r="C21" i="43" s="1"/>
  <c r="C21" i="47" s="1"/>
  <c r="D21" i="23"/>
  <c r="D21" i="43" s="1"/>
  <c r="D21" i="47" s="1"/>
  <c r="E21" i="23"/>
  <c r="E21" i="43" s="1"/>
  <c r="E21" i="47" s="1"/>
  <c r="F21" i="23"/>
  <c r="F21" i="43" s="1"/>
  <c r="F21" i="47" s="1"/>
  <c r="G21" i="23"/>
  <c r="G21" i="43" s="1"/>
  <c r="G21" i="47" s="1"/>
  <c r="H21" i="23"/>
  <c r="H21" i="43" s="1"/>
  <c r="H21" i="47" s="1"/>
  <c r="I21" i="23"/>
  <c r="I21" i="43" s="1"/>
  <c r="I21" i="47" s="1"/>
  <c r="J21" i="23"/>
  <c r="J21" i="43" s="1"/>
  <c r="J21" i="47" s="1"/>
  <c r="K21" i="23"/>
  <c r="K21" i="43" s="1"/>
  <c r="K21" i="47" s="1"/>
  <c r="L21" i="23"/>
  <c r="L21" i="43" s="1"/>
  <c r="L21" i="47" s="1"/>
  <c r="M21" i="23"/>
  <c r="M21" i="43" s="1"/>
  <c r="M21" i="47" s="1"/>
  <c r="C22" i="23"/>
  <c r="C22" i="43" s="1"/>
  <c r="C22" i="47" s="1"/>
  <c r="D22" i="23"/>
  <c r="D22" i="43" s="1"/>
  <c r="D22" i="47" s="1"/>
  <c r="E22" i="23"/>
  <c r="E22" i="43" s="1"/>
  <c r="E22" i="47" s="1"/>
  <c r="F22" i="23"/>
  <c r="F22" i="43" s="1"/>
  <c r="F22" i="47" s="1"/>
  <c r="G22" i="23"/>
  <c r="G22" i="43" s="1"/>
  <c r="G22" i="47" s="1"/>
  <c r="H22" i="23"/>
  <c r="H22" i="43" s="1"/>
  <c r="H22" i="47" s="1"/>
  <c r="I22" i="23"/>
  <c r="I22" i="43" s="1"/>
  <c r="I22" i="47" s="1"/>
  <c r="J22" i="23"/>
  <c r="J22" i="43" s="1"/>
  <c r="J22" i="47" s="1"/>
  <c r="L22" i="23"/>
  <c r="L22" i="43" s="1"/>
  <c r="L22" i="47" s="1"/>
  <c r="M22" i="23"/>
  <c r="M22" i="43" s="1"/>
  <c r="M22" i="47" s="1"/>
  <c r="B20" i="23"/>
  <c r="B20" i="43" s="1"/>
  <c r="B20" i="47" s="1"/>
  <c r="B21" i="23"/>
  <c r="B21" i="43" s="1"/>
  <c r="B21" i="47" s="1"/>
  <c r="B22" i="23"/>
  <c r="B22" i="43" s="1"/>
  <c r="B22" i="47" s="1"/>
  <c r="B19" i="23"/>
  <c r="B19" i="43" s="1"/>
  <c r="B19" i="47" s="1"/>
  <c r="A32" i="42"/>
  <c r="A35" i="10"/>
  <c r="A26" i="43"/>
  <c r="A31" i="43"/>
  <c r="A31" i="23"/>
  <c r="A34" i="10"/>
  <c r="A27" i="23"/>
  <c r="A26" i="23"/>
  <c r="B32" i="43"/>
  <c r="B24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B32" i="23"/>
  <c r="B31" i="42"/>
  <c r="C41" i="42" s="1"/>
  <c r="G23" i="42"/>
  <c r="F23" i="42"/>
  <c r="E23" i="42"/>
  <c r="D23" i="42"/>
  <c r="C23" i="42"/>
  <c r="B23" i="42"/>
  <c r="I23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C41" i="41"/>
  <c r="C40" i="41"/>
  <c r="D22" i="48" l="1"/>
  <c r="D22" i="49" s="1"/>
  <c r="D22" i="50" s="1"/>
  <c r="L20" i="48"/>
  <c r="L20" i="49" s="1"/>
  <c r="L20" i="50" s="1"/>
  <c r="L20" i="51" s="1"/>
  <c r="I19" i="48"/>
  <c r="I19" i="49" s="1"/>
  <c r="I19" i="50" s="1"/>
  <c r="I23" i="47"/>
  <c r="K9" i="48"/>
  <c r="K9" i="49" s="1"/>
  <c r="K9" i="50" s="1"/>
  <c r="K9" i="51" s="1"/>
  <c r="K9" i="52" s="1"/>
  <c r="K9" i="53" s="1"/>
  <c r="H8" i="48"/>
  <c r="H8" i="49" s="1"/>
  <c r="H8" i="50" s="1"/>
  <c r="H8" i="51" s="1"/>
  <c r="H8" i="52" s="1"/>
  <c r="H8" i="53" s="1"/>
  <c r="E7" i="48"/>
  <c r="E7" i="49" s="1"/>
  <c r="E7" i="50" s="1"/>
  <c r="M5" i="48"/>
  <c r="M5" i="49" s="1"/>
  <c r="M5" i="50" s="1"/>
  <c r="M5" i="51" s="1"/>
  <c r="M5" i="52" s="1"/>
  <c r="C22" i="48"/>
  <c r="C22" i="49" s="1"/>
  <c r="C22" i="50" s="1"/>
  <c r="C22" i="51" s="1"/>
  <c r="C22" i="52" s="1"/>
  <c r="K20" i="48"/>
  <c r="K20" i="49" s="1"/>
  <c r="K20" i="50" s="1"/>
  <c r="K20" i="51" s="1"/>
  <c r="H19" i="48"/>
  <c r="H19" i="49" s="1"/>
  <c r="H19" i="50" s="1"/>
  <c r="H19" i="51" s="1"/>
  <c r="H23" i="47"/>
  <c r="J9" i="48"/>
  <c r="J9" i="49" s="1"/>
  <c r="J9" i="50" s="1"/>
  <c r="J9" i="51" s="1"/>
  <c r="J9" i="52" s="1"/>
  <c r="J9" i="53" s="1"/>
  <c r="G8" i="48"/>
  <c r="G8" i="49" s="1"/>
  <c r="G8" i="50" s="1"/>
  <c r="G8" i="51" s="1"/>
  <c r="G8" i="52" s="1"/>
  <c r="G8" i="53" s="1"/>
  <c r="D7" i="48"/>
  <c r="D7" i="49" s="1"/>
  <c r="D7" i="50" s="1"/>
  <c r="D7" i="51" s="1"/>
  <c r="D7" i="52" s="1"/>
  <c r="D7" i="53" s="1"/>
  <c r="L5" i="48"/>
  <c r="L5" i="49" s="1"/>
  <c r="L5" i="50" s="1"/>
  <c r="L5" i="51" s="1"/>
  <c r="L5" i="52" s="1"/>
  <c r="N19" i="47"/>
  <c r="B19" i="48"/>
  <c r="B19" i="49" s="1"/>
  <c r="B19" i="50" s="1"/>
  <c r="B19" i="51" s="1"/>
  <c r="B19" i="52" s="1"/>
  <c r="M21" i="48"/>
  <c r="M21" i="49" s="1"/>
  <c r="M21" i="50" s="1"/>
  <c r="M21" i="51" s="1"/>
  <c r="M21" i="52" s="1"/>
  <c r="M21" i="53" s="1"/>
  <c r="J20" i="48"/>
  <c r="J20" i="49" s="1"/>
  <c r="J20" i="50" s="1"/>
  <c r="J20" i="51" s="1"/>
  <c r="J20" i="52" s="1"/>
  <c r="G19" i="48"/>
  <c r="G19" i="49" s="1"/>
  <c r="G19" i="50" s="1"/>
  <c r="G23" i="47"/>
  <c r="I9" i="48"/>
  <c r="I9" i="49" s="1"/>
  <c r="I9" i="50" s="1"/>
  <c r="F8" i="48"/>
  <c r="F8" i="49" s="1"/>
  <c r="F8" i="50" s="1"/>
  <c r="N7" i="47"/>
  <c r="C7" i="48"/>
  <c r="C7" i="49" s="1"/>
  <c r="C7" i="50" s="1"/>
  <c r="C7" i="51" s="1"/>
  <c r="C7" i="52" s="1"/>
  <c r="C7" i="53" s="1"/>
  <c r="K10" i="47"/>
  <c r="K5" i="48"/>
  <c r="K5" i="49" s="1"/>
  <c r="K5" i="50" s="1"/>
  <c r="K5" i="51" s="1"/>
  <c r="K5" i="52" s="1"/>
  <c r="K5" i="53" s="1"/>
  <c r="B22" i="48"/>
  <c r="B22" i="49" s="1"/>
  <c r="B22" i="50" s="1"/>
  <c r="B22" i="51" s="1"/>
  <c r="B22" i="52" s="1"/>
  <c r="B22" i="53" s="1"/>
  <c r="L21" i="48"/>
  <c r="L21" i="49" s="1"/>
  <c r="L21" i="50" s="1"/>
  <c r="L21" i="51" s="1"/>
  <c r="L21" i="52" s="1"/>
  <c r="L21" i="53" s="1"/>
  <c r="I20" i="48"/>
  <c r="I20" i="49" s="1"/>
  <c r="I20" i="50" s="1"/>
  <c r="F19" i="48"/>
  <c r="F19" i="49" s="1"/>
  <c r="F19" i="50" s="1"/>
  <c r="F19" i="51" s="1"/>
  <c r="F23" i="47"/>
  <c r="H9" i="48"/>
  <c r="H9" i="49" s="1"/>
  <c r="H9" i="50" s="1"/>
  <c r="H9" i="51" s="1"/>
  <c r="H9" i="52" s="1"/>
  <c r="H9" i="53" s="1"/>
  <c r="E8" i="48"/>
  <c r="E8" i="49" s="1"/>
  <c r="E8" i="50" s="1"/>
  <c r="E8" i="51" s="1"/>
  <c r="E8" i="52" s="1"/>
  <c r="E8" i="53" s="1"/>
  <c r="M6" i="48"/>
  <c r="M6" i="49" s="1"/>
  <c r="M6" i="50" s="1"/>
  <c r="M6" i="51" s="1"/>
  <c r="M6" i="52" s="1"/>
  <c r="M6" i="53" s="1"/>
  <c r="J5" i="48"/>
  <c r="J5" i="49" s="1"/>
  <c r="J5" i="50" s="1"/>
  <c r="J5" i="51" s="1"/>
  <c r="J5" i="52" s="1"/>
  <c r="J5" i="53" s="1"/>
  <c r="B23" i="47"/>
  <c r="B21" i="48"/>
  <c r="B21" i="49" s="1"/>
  <c r="B21" i="50" s="1"/>
  <c r="N21" i="47"/>
  <c r="K21" i="48"/>
  <c r="K21" i="49" s="1"/>
  <c r="K21" i="50" s="1"/>
  <c r="K21" i="51" s="1"/>
  <c r="K21" i="52" s="1"/>
  <c r="K21" i="53" s="1"/>
  <c r="H20" i="48"/>
  <c r="H20" i="49" s="1"/>
  <c r="H20" i="50" s="1"/>
  <c r="E19" i="48"/>
  <c r="E19" i="49" s="1"/>
  <c r="E19" i="50" s="1"/>
  <c r="G9" i="48"/>
  <c r="G9" i="49" s="1"/>
  <c r="G9" i="50" s="1"/>
  <c r="G9" i="51" s="1"/>
  <c r="G9" i="52" s="1"/>
  <c r="G9" i="53" s="1"/>
  <c r="N8" i="47"/>
  <c r="D8" i="48"/>
  <c r="D8" i="49" s="1"/>
  <c r="D8" i="50" s="1"/>
  <c r="D8" i="51" s="1"/>
  <c r="D8" i="52" s="1"/>
  <c r="D8" i="53" s="1"/>
  <c r="L6" i="48"/>
  <c r="L6" i="49" s="1"/>
  <c r="L6" i="50" s="1"/>
  <c r="L6" i="51" s="1"/>
  <c r="L6" i="52" s="1"/>
  <c r="L6" i="53" s="1"/>
  <c r="I5" i="48"/>
  <c r="I5" i="49" s="1"/>
  <c r="I5" i="50" s="1"/>
  <c r="B20" i="48"/>
  <c r="B20" i="49" s="1"/>
  <c r="B20" i="50" s="1"/>
  <c r="B20" i="51" s="1"/>
  <c r="B20" i="52" s="1"/>
  <c r="B20" i="53" s="1"/>
  <c r="J21" i="48"/>
  <c r="J21" i="49" s="1"/>
  <c r="J21" i="50" s="1"/>
  <c r="J21" i="51" s="1"/>
  <c r="J21" i="52" s="1"/>
  <c r="J21" i="53" s="1"/>
  <c r="N20" i="47"/>
  <c r="G20" i="48"/>
  <c r="G20" i="49" s="1"/>
  <c r="G20" i="50" s="1"/>
  <c r="G20" i="51" s="1"/>
  <c r="G20" i="52" s="1"/>
  <c r="G20" i="53" s="1"/>
  <c r="D19" i="48"/>
  <c r="D19" i="49" s="1"/>
  <c r="D19" i="50" s="1"/>
  <c r="D19" i="51" s="1"/>
  <c r="D19" i="52" s="1"/>
  <c r="D23" i="47"/>
  <c r="F9" i="48"/>
  <c r="F9" i="49" s="1"/>
  <c r="F9" i="50" s="1"/>
  <c r="F9" i="51" s="1"/>
  <c r="F9" i="52" s="1"/>
  <c r="F9" i="53" s="1"/>
  <c r="C8" i="48"/>
  <c r="C8" i="49" s="1"/>
  <c r="C8" i="50" s="1"/>
  <c r="C8" i="51" s="1"/>
  <c r="C8" i="52" s="1"/>
  <c r="C8" i="53" s="1"/>
  <c r="K6" i="48"/>
  <c r="K6" i="49" s="1"/>
  <c r="K6" i="50" s="1"/>
  <c r="K6" i="51" s="1"/>
  <c r="K6" i="52" s="1"/>
  <c r="K6" i="53" s="1"/>
  <c r="H5" i="48"/>
  <c r="H5" i="49" s="1"/>
  <c r="H5" i="50" s="1"/>
  <c r="H5" i="51" s="1"/>
  <c r="M22" i="48"/>
  <c r="M22" i="49" s="1"/>
  <c r="M22" i="50" s="1"/>
  <c r="M22" i="51" s="1"/>
  <c r="M22" i="52" s="1"/>
  <c r="M22" i="53" s="1"/>
  <c r="I21" i="48"/>
  <c r="I21" i="49" s="1"/>
  <c r="I21" i="50" s="1"/>
  <c r="F20" i="48"/>
  <c r="F20" i="49" s="1"/>
  <c r="F20" i="50" s="1"/>
  <c r="C19" i="48"/>
  <c r="C19" i="49" s="1"/>
  <c r="C19" i="50" s="1"/>
  <c r="N9" i="47"/>
  <c r="E9" i="48"/>
  <c r="E9" i="49" s="1"/>
  <c r="E9" i="50" s="1"/>
  <c r="E9" i="51" s="1"/>
  <c r="E9" i="52" s="1"/>
  <c r="E9" i="53" s="1"/>
  <c r="M7" i="48"/>
  <c r="M7" i="49" s="1"/>
  <c r="M7" i="50" s="1"/>
  <c r="M7" i="51" s="1"/>
  <c r="M7" i="52" s="1"/>
  <c r="M7" i="53" s="1"/>
  <c r="J6" i="48"/>
  <c r="J6" i="49" s="1"/>
  <c r="J6" i="50" s="1"/>
  <c r="J6" i="51" s="1"/>
  <c r="J6" i="52" s="1"/>
  <c r="J6" i="53" s="1"/>
  <c r="G5" i="48"/>
  <c r="G5" i="49" s="1"/>
  <c r="G5" i="50" s="1"/>
  <c r="G5" i="51" s="1"/>
  <c r="G5" i="52" s="1"/>
  <c r="G5" i="53" s="1"/>
  <c r="L22" i="48"/>
  <c r="L22" i="49" s="1"/>
  <c r="L22" i="50" s="1"/>
  <c r="L22" i="51" s="1"/>
  <c r="L22" i="52" s="1"/>
  <c r="L22" i="53" s="1"/>
  <c r="H21" i="48"/>
  <c r="H21" i="49" s="1"/>
  <c r="H21" i="50" s="1"/>
  <c r="H21" i="51" s="1"/>
  <c r="H21" i="52" s="1"/>
  <c r="H21" i="53" s="1"/>
  <c r="E20" i="48"/>
  <c r="E20" i="49" s="1"/>
  <c r="E20" i="50" s="1"/>
  <c r="E20" i="51" s="1"/>
  <c r="E20" i="52" s="1"/>
  <c r="E20" i="53" s="1"/>
  <c r="B9" i="48"/>
  <c r="B9" i="49" s="1"/>
  <c r="B9" i="50" s="1"/>
  <c r="B9" i="51" s="1"/>
  <c r="B9" i="52" s="1"/>
  <c r="B9" i="53" s="1"/>
  <c r="D9" i="48"/>
  <c r="D9" i="49" s="1"/>
  <c r="D9" i="50" s="1"/>
  <c r="D9" i="51" s="1"/>
  <c r="D9" i="52" s="1"/>
  <c r="D9" i="53" s="1"/>
  <c r="L7" i="48"/>
  <c r="L7" i="49" s="1"/>
  <c r="L7" i="50" s="1"/>
  <c r="L7" i="51" s="1"/>
  <c r="L7" i="52" s="1"/>
  <c r="L7" i="53" s="1"/>
  <c r="I6" i="48"/>
  <c r="I6" i="49" s="1"/>
  <c r="I6" i="50" s="1"/>
  <c r="F5" i="48"/>
  <c r="F5" i="49" s="1"/>
  <c r="F5" i="50" s="1"/>
  <c r="F5" i="51" s="1"/>
  <c r="J22" i="48"/>
  <c r="J22" i="49" s="1"/>
  <c r="J22" i="50" s="1"/>
  <c r="J22" i="51" s="1"/>
  <c r="J22" i="52" s="1"/>
  <c r="J22" i="53" s="1"/>
  <c r="G21" i="48"/>
  <c r="G21" i="49" s="1"/>
  <c r="G21" i="50" s="1"/>
  <c r="G21" i="51" s="1"/>
  <c r="G21" i="52" s="1"/>
  <c r="G21" i="53" s="1"/>
  <c r="D20" i="48"/>
  <c r="D20" i="49" s="1"/>
  <c r="D20" i="50" s="1"/>
  <c r="D20" i="51" s="1"/>
  <c r="D20" i="52" s="1"/>
  <c r="D20" i="53" s="1"/>
  <c r="B8" i="48"/>
  <c r="B8" i="49" s="1"/>
  <c r="B8" i="50" s="1"/>
  <c r="B8" i="51" s="1"/>
  <c r="B8" i="52" s="1"/>
  <c r="B8" i="53" s="1"/>
  <c r="C9" i="48"/>
  <c r="C9" i="49" s="1"/>
  <c r="C9" i="50" s="1"/>
  <c r="C9" i="51" s="1"/>
  <c r="C9" i="52" s="1"/>
  <c r="C9" i="53" s="1"/>
  <c r="K7" i="48"/>
  <c r="K7" i="49" s="1"/>
  <c r="K7" i="50" s="1"/>
  <c r="K7" i="51" s="1"/>
  <c r="K7" i="52" s="1"/>
  <c r="K7" i="53" s="1"/>
  <c r="H6" i="48"/>
  <c r="H6" i="49" s="1"/>
  <c r="H6" i="50" s="1"/>
  <c r="H6" i="51" s="1"/>
  <c r="H6" i="52" s="1"/>
  <c r="H6" i="53" s="1"/>
  <c r="E5" i="48"/>
  <c r="E5" i="49" s="1"/>
  <c r="E5" i="50" s="1"/>
  <c r="E5" i="51" s="1"/>
  <c r="E5" i="52" s="1"/>
  <c r="E5" i="53" s="1"/>
  <c r="I22" i="48"/>
  <c r="I22" i="49" s="1"/>
  <c r="I22" i="50" s="1"/>
  <c r="F21" i="48"/>
  <c r="F21" i="49" s="1"/>
  <c r="F21" i="50" s="1"/>
  <c r="F21" i="51" s="1"/>
  <c r="F21" i="52" s="1"/>
  <c r="F21" i="53" s="1"/>
  <c r="C23" i="47"/>
  <c r="C20" i="48"/>
  <c r="C20" i="49" s="1"/>
  <c r="C20" i="50" s="1"/>
  <c r="C20" i="51" s="1"/>
  <c r="C20" i="52" s="1"/>
  <c r="C20" i="53" s="1"/>
  <c r="B7" i="48"/>
  <c r="B7" i="49" s="1"/>
  <c r="B7" i="50" s="1"/>
  <c r="B7" i="51" s="1"/>
  <c r="B7" i="52" s="1"/>
  <c r="B7" i="53" s="1"/>
  <c r="M8" i="48"/>
  <c r="M8" i="49" s="1"/>
  <c r="M8" i="50" s="1"/>
  <c r="M8" i="51" s="1"/>
  <c r="M8" i="52" s="1"/>
  <c r="M8" i="53" s="1"/>
  <c r="J7" i="48"/>
  <c r="J7" i="49" s="1"/>
  <c r="J7" i="50" s="1"/>
  <c r="J7" i="51" s="1"/>
  <c r="J7" i="52" s="1"/>
  <c r="J7" i="53" s="1"/>
  <c r="G6" i="48"/>
  <c r="G6" i="49" s="1"/>
  <c r="G6" i="50" s="1"/>
  <c r="G6" i="51" s="1"/>
  <c r="G6" i="52" s="1"/>
  <c r="G6" i="53" s="1"/>
  <c r="D5" i="48"/>
  <c r="D5" i="49" s="1"/>
  <c r="D5" i="50" s="1"/>
  <c r="D5" i="51" s="1"/>
  <c r="D5" i="52" s="1"/>
  <c r="D5" i="53" s="1"/>
  <c r="H22" i="48"/>
  <c r="H22" i="49" s="1"/>
  <c r="H22" i="50" s="1"/>
  <c r="H22" i="51" s="1"/>
  <c r="H22" i="52" s="1"/>
  <c r="H22" i="53" s="1"/>
  <c r="E21" i="48"/>
  <c r="E21" i="49" s="1"/>
  <c r="E21" i="50" s="1"/>
  <c r="E21" i="51" s="1"/>
  <c r="E21" i="52" s="1"/>
  <c r="M19" i="48"/>
  <c r="M19" i="49" s="1"/>
  <c r="M19" i="50" s="1"/>
  <c r="M19" i="51" s="1"/>
  <c r="M23" i="47"/>
  <c r="N6" i="47"/>
  <c r="B6" i="48"/>
  <c r="B6" i="49" s="1"/>
  <c r="B6" i="50" s="1"/>
  <c r="L8" i="48"/>
  <c r="L8" i="49" s="1"/>
  <c r="L8" i="50" s="1"/>
  <c r="L8" i="51" s="1"/>
  <c r="L8" i="52" s="1"/>
  <c r="L8" i="53" s="1"/>
  <c r="I7" i="48"/>
  <c r="I7" i="49" s="1"/>
  <c r="I7" i="50" s="1"/>
  <c r="F6" i="48"/>
  <c r="F6" i="49" s="1"/>
  <c r="F6" i="50" s="1"/>
  <c r="F6" i="51" s="1"/>
  <c r="F6" i="52" s="1"/>
  <c r="F6" i="53" s="1"/>
  <c r="C5" i="48"/>
  <c r="C5" i="49" s="1"/>
  <c r="C5" i="50" s="1"/>
  <c r="C5" i="51" s="1"/>
  <c r="C5" i="52" s="1"/>
  <c r="C5" i="53" s="1"/>
  <c r="G22" i="48"/>
  <c r="G22" i="49" s="1"/>
  <c r="G22" i="50" s="1"/>
  <c r="G22" i="51" s="1"/>
  <c r="G22" i="52" s="1"/>
  <c r="G22" i="53" s="1"/>
  <c r="D21" i="48"/>
  <c r="D21" i="49" s="1"/>
  <c r="D21" i="50" s="1"/>
  <c r="D21" i="51" s="1"/>
  <c r="D21" i="52" s="1"/>
  <c r="D21" i="53" s="1"/>
  <c r="L19" i="48"/>
  <c r="L23" i="47"/>
  <c r="N5" i="47"/>
  <c r="B5" i="48"/>
  <c r="B5" i="49" s="1"/>
  <c r="B5" i="50" s="1"/>
  <c r="B5" i="51" s="1"/>
  <c r="B5" i="52" s="1"/>
  <c r="B5" i="53" s="1"/>
  <c r="K8" i="48"/>
  <c r="K8" i="49" s="1"/>
  <c r="K8" i="50" s="1"/>
  <c r="K8" i="51" s="1"/>
  <c r="K8" i="52" s="1"/>
  <c r="K8" i="53" s="1"/>
  <c r="H7" i="48"/>
  <c r="H7" i="49" s="1"/>
  <c r="H7" i="50" s="1"/>
  <c r="H7" i="51" s="1"/>
  <c r="H7" i="52" s="1"/>
  <c r="H7" i="53" s="1"/>
  <c r="E6" i="48"/>
  <c r="E6" i="49" s="1"/>
  <c r="E6" i="50" s="1"/>
  <c r="E6" i="51" s="1"/>
  <c r="E6" i="52" s="1"/>
  <c r="E6" i="53" s="1"/>
  <c r="M4" i="48"/>
  <c r="M4" i="49" s="1"/>
  <c r="M4" i="50" s="1"/>
  <c r="M10" i="47"/>
  <c r="F22" i="48"/>
  <c r="F22" i="49" s="1"/>
  <c r="F22" i="50" s="1"/>
  <c r="F22" i="51" s="1"/>
  <c r="F22" i="52" s="1"/>
  <c r="F22" i="53" s="1"/>
  <c r="C21" i="48"/>
  <c r="C21" i="49" s="1"/>
  <c r="C21" i="50" s="1"/>
  <c r="C21" i="51" s="1"/>
  <c r="K19" i="48"/>
  <c r="K19" i="49" s="1"/>
  <c r="K19" i="50" s="1"/>
  <c r="M9" i="48"/>
  <c r="M9" i="49" s="1"/>
  <c r="M9" i="50" s="1"/>
  <c r="M9" i="51" s="1"/>
  <c r="M9" i="52" s="1"/>
  <c r="M9" i="53" s="1"/>
  <c r="J8" i="48"/>
  <c r="J8" i="49" s="1"/>
  <c r="J8" i="50" s="1"/>
  <c r="J8" i="51" s="1"/>
  <c r="J8" i="52" s="1"/>
  <c r="J8" i="53" s="1"/>
  <c r="G7" i="48"/>
  <c r="G7" i="49" s="1"/>
  <c r="G7" i="50" s="1"/>
  <c r="G7" i="51" s="1"/>
  <c r="G7" i="52" s="1"/>
  <c r="G7" i="53" s="1"/>
  <c r="D6" i="48"/>
  <c r="D6" i="49" s="1"/>
  <c r="D6" i="50" s="1"/>
  <c r="D6" i="51" s="1"/>
  <c r="D6" i="52" s="1"/>
  <c r="D6" i="53" s="1"/>
  <c r="E23" i="47"/>
  <c r="E22" i="48"/>
  <c r="E22" i="49" s="1"/>
  <c r="E22" i="50" s="1"/>
  <c r="E22" i="51" s="1"/>
  <c r="E22" i="52" s="1"/>
  <c r="E22" i="53" s="1"/>
  <c r="M20" i="48"/>
  <c r="M20" i="49" s="1"/>
  <c r="M20" i="50" s="1"/>
  <c r="J19" i="48"/>
  <c r="J19" i="49" s="1"/>
  <c r="J19" i="50" s="1"/>
  <c r="J23" i="47"/>
  <c r="L9" i="48"/>
  <c r="L9" i="49" s="1"/>
  <c r="L9" i="50" s="1"/>
  <c r="L9" i="51" s="1"/>
  <c r="L9" i="52" s="1"/>
  <c r="L9" i="53" s="1"/>
  <c r="I8" i="48"/>
  <c r="I8" i="49" s="1"/>
  <c r="I8" i="50" s="1"/>
  <c r="F7" i="48"/>
  <c r="F7" i="49" s="1"/>
  <c r="F7" i="50" s="1"/>
  <c r="F7" i="51" s="1"/>
  <c r="F7" i="52" s="1"/>
  <c r="F7" i="53" s="1"/>
  <c r="C6" i="48"/>
  <c r="C6" i="49" s="1"/>
  <c r="C6" i="50" s="1"/>
  <c r="K4" i="48"/>
  <c r="K4" i="49" s="1"/>
  <c r="K4" i="50" s="1"/>
  <c r="G4" i="23"/>
  <c r="G4" i="43" s="1"/>
  <c r="G10" i="42"/>
  <c r="H4" i="23"/>
  <c r="H4" i="43" s="1"/>
  <c r="J4" i="23"/>
  <c r="J4" i="43" s="1"/>
  <c r="E4" i="23"/>
  <c r="E4" i="43" s="1"/>
  <c r="I4" i="23"/>
  <c r="I4" i="43" s="1"/>
  <c r="B10" i="42"/>
  <c r="F4" i="23"/>
  <c r="F4" i="43" s="1"/>
  <c r="L4" i="23"/>
  <c r="L4" i="43" s="1"/>
  <c r="K22" i="23"/>
  <c r="K22" i="43" s="1"/>
  <c r="H23" i="43"/>
  <c r="J23" i="43"/>
  <c r="L23" i="43"/>
  <c r="B23" i="43"/>
  <c r="M23" i="43"/>
  <c r="C23" i="43"/>
  <c r="I23" i="43"/>
  <c r="N20" i="43"/>
  <c r="G23" i="43"/>
  <c r="N21" i="43"/>
  <c r="E23" i="43"/>
  <c r="F23" i="43"/>
  <c r="D23" i="43"/>
  <c r="N5" i="43"/>
  <c r="M10" i="43"/>
  <c r="N8" i="43"/>
  <c r="N7" i="43"/>
  <c r="N9" i="43"/>
  <c r="K10" i="43"/>
  <c r="N6" i="43"/>
  <c r="N19" i="43"/>
  <c r="N5" i="42"/>
  <c r="N20" i="42"/>
  <c r="N8" i="42"/>
  <c r="M23" i="42"/>
  <c r="N21" i="42"/>
  <c r="N9" i="42"/>
  <c r="N6" i="42"/>
  <c r="N19" i="42"/>
  <c r="N7" i="42"/>
  <c r="M10" i="42"/>
  <c r="K10" i="42"/>
  <c r="K23" i="42"/>
  <c r="L10" i="42"/>
  <c r="L23" i="42"/>
  <c r="J23" i="42"/>
  <c r="H23" i="42"/>
  <c r="B35" i="10"/>
  <c r="M9" i="41"/>
  <c r="M4" i="41"/>
  <c r="B31" i="41"/>
  <c r="G23" i="41"/>
  <c r="F23" i="41"/>
  <c r="E23" i="41"/>
  <c r="D23" i="41"/>
  <c r="C23" i="41"/>
  <c r="B23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G10" i="41"/>
  <c r="F10" i="41"/>
  <c r="E10" i="41"/>
  <c r="D10" i="41"/>
  <c r="C10" i="41"/>
  <c r="B10" i="41"/>
  <c r="G26" i="8"/>
  <c r="H26" i="8"/>
  <c r="I26" i="8"/>
  <c r="J26" i="8"/>
  <c r="K26" i="8"/>
  <c r="L26" i="8"/>
  <c r="M26" i="8"/>
  <c r="G30" i="8"/>
  <c r="H30" i="8"/>
  <c r="I30" i="8"/>
  <c r="J30" i="8"/>
  <c r="K30" i="8"/>
  <c r="L30" i="8"/>
  <c r="M30" i="8"/>
  <c r="B10" i="9"/>
  <c r="C10" i="9"/>
  <c r="D10" i="9"/>
  <c r="E10" i="9"/>
  <c r="F10" i="9"/>
  <c r="B23" i="9"/>
  <c r="C23" i="9"/>
  <c r="D23" i="9"/>
  <c r="E23" i="9"/>
  <c r="F23" i="9"/>
  <c r="H23" i="9"/>
  <c r="I23" i="9"/>
  <c r="J23" i="9"/>
  <c r="K23" i="9"/>
  <c r="L23" i="9"/>
  <c r="M23" i="9"/>
  <c r="H10" i="9"/>
  <c r="I10" i="9"/>
  <c r="J10" i="9"/>
  <c r="K10" i="9"/>
  <c r="L10" i="9"/>
  <c r="M10" i="9"/>
  <c r="B32" i="9"/>
  <c r="B34" i="9"/>
  <c r="H23" i="50" l="1"/>
  <c r="H20" i="51"/>
  <c r="H20" i="52" s="1"/>
  <c r="H20" i="53" s="1"/>
  <c r="M5" i="53"/>
  <c r="B23" i="50"/>
  <c r="B21" i="51"/>
  <c r="E21" i="53"/>
  <c r="F8" i="51"/>
  <c r="F8" i="52" s="1"/>
  <c r="K20" i="52"/>
  <c r="J23" i="50"/>
  <c r="J19" i="51"/>
  <c r="M23" i="50"/>
  <c r="M20" i="51"/>
  <c r="M20" i="52" s="1"/>
  <c r="M19" i="52"/>
  <c r="M19" i="53" s="1"/>
  <c r="M23" i="51"/>
  <c r="M23" i="49"/>
  <c r="D19" i="53"/>
  <c r="H23" i="51"/>
  <c r="H19" i="52"/>
  <c r="L23" i="48"/>
  <c r="L19" i="49"/>
  <c r="N19" i="49" s="1"/>
  <c r="C22" i="53"/>
  <c r="E7" i="51"/>
  <c r="K4" i="51"/>
  <c r="K10" i="50"/>
  <c r="K19" i="51"/>
  <c r="K19" i="52" s="1"/>
  <c r="K19" i="53" s="1"/>
  <c r="C19" i="51"/>
  <c r="C19" i="52" s="1"/>
  <c r="C19" i="53" s="1"/>
  <c r="C23" i="50"/>
  <c r="J20" i="53"/>
  <c r="C6" i="51"/>
  <c r="C21" i="52"/>
  <c r="C21" i="53" s="1"/>
  <c r="F5" i="52"/>
  <c r="F5" i="53" s="1"/>
  <c r="F23" i="50"/>
  <c r="F20" i="51"/>
  <c r="F20" i="52" s="1"/>
  <c r="F20" i="53" s="1"/>
  <c r="F19" i="52"/>
  <c r="B19" i="53"/>
  <c r="G23" i="50"/>
  <c r="G19" i="51"/>
  <c r="M4" i="51"/>
  <c r="M10" i="50"/>
  <c r="H5" i="52"/>
  <c r="L5" i="53"/>
  <c r="L20" i="52"/>
  <c r="B6" i="51"/>
  <c r="B6" i="52" s="1"/>
  <c r="B6" i="53" s="1"/>
  <c r="E19" i="51"/>
  <c r="E23" i="50"/>
  <c r="D23" i="50"/>
  <c r="D22" i="51"/>
  <c r="I7" i="51"/>
  <c r="N7" i="50"/>
  <c r="I22" i="51"/>
  <c r="I21" i="51"/>
  <c r="N21" i="50"/>
  <c r="I20" i="51"/>
  <c r="N20" i="50"/>
  <c r="I19" i="51"/>
  <c r="I23" i="50"/>
  <c r="I9" i="51"/>
  <c r="N9" i="50"/>
  <c r="I8" i="51"/>
  <c r="N8" i="50"/>
  <c r="I6" i="51"/>
  <c r="N6" i="50"/>
  <c r="I5" i="51"/>
  <c r="N5" i="50"/>
  <c r="N7" i="49"/>
  <c r="D23" i="48"/>
  <c r="J23" i="48"/>
  <c r="J23" i="49"/>
  <c r="E10" i="43"/>
  <c r="E4" i="47"/>
  <c r="N9" i="49"/>
  <c r="J10" i="43"/>
  <c r="J4" i="47"/>
  <c r="G23" i="49"/>
  <c r="H10" i="43"/>
  <c r="H4" i="47"/>
  <c r="N8" i="49"/>
  <c r="E23" i="49"/>
  <c r="G23" i="48"/>
  <c r="G10" i="43"/>
  <c r="G4" i="47"/>
  <c r="K10" i="49"/>
  <c r="N5" i="48"/>
  <c r="N9" i="48"/>
  <c r="N20" i="48"/>
  <c r="K10" i="48"/>
  <c r="H23" i="49"/>
  <c r="E23" i="48"/>
  <c r="C23" i="48"/>
  <c r="N21" i="49"/>
  <c r="N19" i="48"/>
  <c r="H23" i="48"/>
  <c r="C23" i="49"/>
  <c r="F23" i="48"/>
  <c r="I23" i="49"/>
  <c r="K23" i="43"/>
  <c r="K22" i="47"/>
  <c r="N6" i="48"/>
  <c r="F23" i="49"/>
  <c r="B23" i="49"/>
  <c r="I23" i="48"/>
  <c r="L10" i="43"/>
  <c r="L4" i="47"/>
  <c r="N6" i="49"/>
  <c r="N20" i="49"/>
  <c r="B23" i="48"/>
  <c r="N21" i="48"/>
  <c r="F10" i="43"/>
  <c r="F4" i="47"/>
  <c r="M10" i="49"/>
  <c r="D23" i="49"/>
  <c r="M10" i="48"/>
  <c r="N8" i="48"/>
  <c r="N5" i="49"/>
  <c r="I10" i="43"/>
  <c r="I4" i="47"/>
  <c r="M23" i="48"/>
  <c r="N7" i="48"/>
  <c r="M28" i="42"/>
  <c r="H31" i="42"/>
  <c r="H26" i="42"/>
  <c r="B12" i="42"/>
  <c r="B4" i="23"/>
  <c r="B4" i="43" s="1"/>
  <c r="F10" i="42"/>
  <c r="N4" i="42"/>
  <c r="N10" i="42" s="1"/>
  <c r="B14" i="42" s="1"/>
  <c r="H14" i="42" s="1"/>
  <c r="D10" i="42"/>
  <c r="D4" i="23"/>
  <c r="D4" i="43" s="1"/>
  <c r="I10" i="42"/>
  <c r="H10" i="42"/>
  <c r="J10" i="42"/>
  <c r="C4" i="23"/>
  <c r="C4" i="43" s="1"/>
  <c r="C10" i="42"/>
  <c r="E10" i="42"/>
  <c r="N22" i="43"/>
  <c r="N23" i="43" s="1"/>
  <c r="B26" i="43" s="1"/>
  <c r="B28" i="43" s="1"/>
  <c r="N23" i="42"/>
  <c r="B27" i="42" s="1"/>
  <c r="H27" i="42" s="1"/>
  <c r="N5" i="41"/>
  <c r="N20" i="41"/>
  <c r="N7" i="41"/>
  <c r="N9" i="41"/>
  <c r="N6" i="41"/>
  <c r="N8" i="41"/>
  <c r="N19" i="41"/>
  <c r="M10" i="41"/>
  <c r="N4" i="41"/>
  <c r="N22" i="41"/>
  <c r="N21" i="41"/>
  <c r="B31" i="9"/>
  <c r="G2" i="40"/>
  <c r="G3" i="40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E34" i="39"/>
  <c r="E30" i="39"/>
  <c r="E31" i="39"/>
  <c r="E32" i="39"/>
  <c r="E33" i="39"/>
  <c r="E35" i="39"/>
  <c r="E36" i="39"/>
  <c r="E29" i="39"/>
  <c r="C26" i="40"/>
  <c r="C25" i="40"/>
  <c r="C29" i="40"/>
  <c r="C33" i="40"/>
  <c r="C37" i="40"/>
  <c r="C30" i="40"/>
  <c r="C34" i="40"/>
  <c r="C27" i="40"/>
  <c r="C31" i="40"/>
  <c r="C35" i="40"/>
  <c r="C28" i="40"/>
  <c r="C32" i="40"/>
  <c r="C36" i="40"/>
  <c r="C30" i="39"/>
  <c r="F8" i="53" l="1"/>
  <c r="F19" i="53"/>
  <c r="F23" i="53" s="1"/>
  <c r="F23" i="52"/>
  <c r="F23" i="51"/>
  <c r="L20" i="53"/>
  <c r="B23" i="51"/>
  <c r="B21" i="52"/>
  <c r="K4" i="52"/>
  <c r="K10" i="51"/>
  <c r="H5" i="53"/>
  <c r="M23" i="52"/>
  <c r="M20" i="53"/>
  <c r="M23" i="53" s="1"/>
  <c r="C23" i="53"/>
  <c r="E19" i="52"/>
  <c r="E23" i="51"/>
  <c r="C23" i="51"/>
  <c r="J19" i="52"/>
  <c r="J23" i="51"/>
  <c r="D23" i="51"/>
  <c r="D22" i="52"/>
  <c r="M4" i="52"/>
  <c r="M10" i="51"/>
  <c r="C6" i="52"/>
  <c r="C6" i="53" s="1"/>
  <c r="L19" i="50"/>
  <c r="L23" i="49"/>
  <c r="H19" i="53"/>
  <c r="H23" i="53" s="1"/>
  <c r="H23" i="52"/>
  <c r="E7" i="52"/>
  <c r="C23" i="52"/>
  <c r="G19" i="52"/>
  <c r="G23" i="51"/>
  <c r="K20" i="53"/>
  <c r="I7" i="52"/>
  <c r="N7" i="51"/>
  <c r="I22" i="52"/>
  <c r="I21" i="52"/>
  <c r="N21" i="51"/>
  <c r="I20" i="52"/>
  <c r="N20" i="51"/>
  <c r="I19" i="52"/>
  <c r="I23" i="51"/>
  <c r="I9" i="52"/>
  <c r="N9" i="51"/>
  <c r="I8" i="52"/>
  <c r="N8" i="51"/>
  <c r="I6" i="52"/>
  <c r="N6" i="51"/>
  <c r="I5" i="52"/>
  <c r="N5" i="51"/>
  <c r="H4" i="48"/>
  <c r="H10" i="47"/>
  <c r="B10" i="43"/>
  <c r="B4" i="47"/>
  <c r="F4" i="48"/>
  <c r="F10" i="47"/>
  <c r="K22" i="48"/>
  <c r="K22" i="49" s="1"/>
  <c r="K22" i="50" s="1"/>
  <c r="K23" i="47"/>
  <c r="N22" i="47"/>
  <c r="N23" i="47" s="1"/>
  <c r="B26" i="47" s="1"/>
  <c r="J4" i="48"/>
  <c r="J10" i="47"/>
  <c r="C10" i="43"/>
  <c r="C4" i="47"/>
  <c r="L4" i="48"/>
  <c r="L10" i="47"/>
  <c r="I4" i="48"/>
  <c r="I10" i="47"/>
  <c r="G4" i="48"/>
  <c r="G10" i="47"/>
  <c r="E4" i="48"/>
  <c r="E10" i="47"/>
  <c r="D10" i="43"/>
  <c r="D4" i="47"/>
  <c r="N4" i="43"/>
  <c r="N10" i="43" s="1"/>
  <c r="B13" i="43" s="1"/>
  <c r="B15" i="43" s="1"/>
  <c r="B33" i="43" s="1"/>
  <c r="B28" i="42"/>
  <c r="B32" i="42"/>
  <c r="B15" i="42"/>
  <c r="N10" i="41"/>
  <c r="B14" i="41" s="1"/>
  <c r="N23" i="41"/>
  <c r="B27" i="41" s="1"/>
  <c r="B32" i="41" s="1"/>
  <c r="G36" i="40"/>
  <c r="G32" i="40"/>
  <c r="G28" i="40"/>
  <c r="G35" i="40"/>
  <c r="G31" i="40"/>
  <c r="G27" i="40"/>
  <c r="G34" i="40"/>
  <c r="G30" i="40"/>
  <c r="G37" i="40"/>
  <c r="G33" i="40"/>
  <c r="G29" i="40"/>
  <c r="G25" i="40"/>
  <c r="G26" i="40"/>
  <c r="M21" i="9"/>
  <c r="L21" i="9"/>
  <c r="K21" i="9"/>
  <c r="J21" i="9"/>
  <c r="I21" i="9"/>
  <c r="M22" i="9"/>
  <c r="L22" i="9"/>
  <c r="K22" i="9"/>
  <c r="J22" i="9"/>
  <c r="I22" i="9"/>
  <c r="H22" i="9"/>
  <c r="C36" i="35"/>
  <c r="C35" i="35"/>
  <c r="C34" i="35"/>
  <c r="C33" i="35"/>
  <c r="C32" i="35"/>
  <c r="C31" i="35"/>
  <c r="C30" i="35"/>
  <c r="D36" i="35"/>
  <c r="E36" i="35"/>
  <c r="D35" i="35"/>
  <c r="E35" i="35"/>
  <c r="D34" i="35"/>
  <c r="E34" i="35"/>
  <c r="D33" i="35"/>
  <c r="E33" i="35"/>
  <c r="D32" i="35"/>
  <c r="E32" i="35"/>
  <c r="D31" i="35"/>
  <c r="E31" i="35"/>
  <c r="D30" i="35"/>
  <c r="E30" i="35"/>
  <c r="G10" i="9"/>
  <c r="N6" i="9"/>
  <c r="B36" i="28"/>
  <c r="B35" i="28"/>
  <c r="B34" i="28"/>
  <c r="B33" i="28"/>
  <c r="B32" i="28"/>
  <c r="B31" i="28"/>
  <c r="B30" i="28"/>
  <c r="B36" i="27"/>
  <c r="B35" i="27"/>
  <c r="B34" i="27"/>
  <c r="B33" i="27"/>
  <c r="B32" i="27"/>
  <c r="B31" i="27"/>
  <c r="B30" i="27"/>
  <c r="C14" i="11"/>
  <c r="K10" i="8"/>
  <c r="C23" i="12"/>
  <c r="C22" i="12"/>
  <c r="C20" i="12"/>
  <c r="I10" i="8"/>
  <c r="N22" i="8"/>
  <c r="N20" i="8"/>
  <c r="N21" i="8"/>
  <c r="N19" i="8"/>
  <c r="N9" i="8"/>
  <c r="N7" i="8"/>
  <c r="N5" i="8"/>
  <c r="N4" i="8"/>
  <c r="M23" i="8"/>
  <c r="J23" i="8"/>
  <c r="B23" i="8"/>
  <c r="J10" i="8"/>
  <c r="L10" i="8"/>
  <c r="C10" i="8"/>
  <c r="D10" i="8"/>
  <c r="E10" i="8"/>
  <c r="F10" i="8"/>
  <c r="G10" i="8"/>
  <c r="H10" i="8"/>
  <c r="B10" i="8"/>
  <c r="C30" i="25"/>
  <c r="C31" i="25"/>
  <c r="C32" i="25"/>
  <c r="C34" i="25"/>
  <c r="C35" i="25"/>
  <c r="C36" i="25"/>
  <c r="C33" i="25"/>
  <c r="C36" i="29"/>
  <c r="C30" i="29"/>
  <c r="C31" i="29"/>
  <c r="C32" i="29"/>
  <c r="C33" i="29"/>
  <c r="C34" i="29"/>
  <c r="C35" i="29"/>
  <c r="C30" i="28"/>
  <c r="C31" i="28"/>
  <c r="C32" i="28"/>
  <c r="C33" i="28"/>
  <c r="C34" i="28"/>
  <c r="C35" i="28"/>
  <c r="C36" i="28"/>
  <c r="C36" i="27"/>
  <c r="C30" i="27"/>
  <c r="C31" i="27"/>
  <c r="C32" i="27"/>
  <c r="C33" i="27"/>
  <c r="C34" i="27"/>
  <c r="C35" i="27"/>
  <c r="C30" i="26"/>
  <c r="C31" i="26"/>
  <c r="C34" i="26"/>
  <c r="C46" i="26"/>
  <c r="C35" i="26"/>
  <c r="C47" i="26"/>
  <c r="C36" i="26"/>
  <c r="C48" i="26"/>
  <c r="C39" i="26"/>
  <c r="C41" i="26"/>
  <c r="C43" i="26"/>
  <c r="C37" i="26"/>
  <c r="C49" i="26"/>
  <c r="C38" i="26"/>
  <c r="C44" i="26"/>
  <c r="C45" i="26"/>
  <c r="C40" i="26"/>
  <c r="C42" i="26"/>
  <c r="C32" i="26"/>
  <c r="C33" i="26"/>
  <c r="C30" i="32"/>
  <c r="C31" i="32"/>
  <c r="C34" i="32"/>
  <c r="C35" i="32"/>
  <c r="C36" i="32"/>
  <c r="C32" i="32"/>
  <c r="C33" i="32"/>
  <c r="C30" i="33"/>
  <c r="C34" i="33"/>
  <c r="C36" i="33"/>
  <c r="C31" i="33"/>
  <c r="C32" i="33"/>
  <c r="C33" i="33"/>
  <c r="C35" i="33"/>
  <c r="C31" i="36"/>
  <c r="C32" i="36"/>
  <c r="C33" i="36"/>
  <c r="C34" i="36"/>
  <c r="C35" i="36"/>
  <c r="C36" i="36"/>
  <c r="C30" i="36"/>
  <c r="C30" i="37"/>
  <c r="C31" i="37"/>
  <c r="C32" i="37"/>
  <c r="C33" i="37"/>
  <c r="C34" i="37"/>
  <c r="C35" i="37"/>
  <c r="C36" i="37"/>
  <c r="C31" i="38"/>
  <c r="C32" i="38"/>
  <c r="C33" i="38"/>
  <c r="C34" i="38"/>
  <c r="C35" i="38"/>
  <c r="C36" i="38"/>
  <c r="C30" i="38"/>
  <c r="C32" i="39"/>
  <c r="C33" i="39"/>
  <c r="C34" i="39"/>
  <c r="C35" i="39"/>
  <c r="C31" i="39"/>
  <c r="C36" i="39"/>
  <c r="D36" i="40"/>
  <c r="D28" i="40"/>
  <c r="D31" i="40"/>
  <c r="D34" i="40"/>
  <c r="D26" i="40"/>
  <c r="D33" i="40"/>
  <c r="D25" i="40"/>
  <c r="E36" i="40"/>
  <c r="E28" i="40"/>
  <c r="E31" i="40"/>
  <c r="E34" i="40"/>
  <c r="E26" i="40"/>
  <c r="E33" i="40"/>
  <c r="E25" i="40"/>
  <c r="E32" i="40"/>
  <c r="E35" i="40"/>
  <c r="D27" i="40"/>
  <c r="E30" i="40"/>
  <c r="D37" i="40"/>
  <c r="E29" i="40"/>
  <c r="D32" i="40"/>
  <c r="D35" i="40"/>
  <c r="E27" i="40"/>
  <c r="D30" i="40"/>
  <c r="E37" i="40"/>
  <c r="D29" i="40"/>
  <c r="K22" i="51" l="1"/>
  <c r="N22" i="50"/>
  <c r="K23" i="50"/>
  <c r="M4" i="53"/>
  <c r="M10" i="53" s="1"/>
  <c r="M10" i="52"/>
  <c r="K10" i="52"/>
  <c r="K4" i="53"/>
  <c r="K10" i="53" s="1"/>
  <c r="G10" i="48"/>
  <c r="G4" i="49"/>
  <c r="D22" i="53"/>
  <c r="D23" i="53" s="1"/>
  <c r="D23" i="52"/>
  <c r="B21" i="53"/>
  <c r="B23" i="53" s="1"/>
  <c r="B23" i="52"/>
  <c r="F10" i="48"/>
  <c r="F4" i="49"/>
  <c r="E10" i="48"/>
  <c r="E4" i="49"/>
  <c r="E7" i="53"/>
  <c r="E19" i="53"/>
  <c r="E23" i="53" s="1"/>
  <c r="E23" i="52"/>
  <c r="L19" i="51"/>
  <c r="L23" i="50"/>
  <c r="N19" i="50"/>
  <c r="N23" i="50" s="1"/>
  <c r="B26" i="50" s="1"/>
  <c r="B28" i="50" s="1"/>
  <c r="J10" i="48"/>
  <c r="J4" i="49"/>
  <c r="G23" i="52"/>
  <c r="G19" i="53"/>
  <c r="G23" i="53" s="1"/>
  <c r="J19" i="53"/>
  <c r="J23" i="53" s="1"/>
  <c r="J23" i="52"/>
  <c r="L10" i="48"/>
  <c r="L4" i="49"/>
  <c r="H10" i="48"/>
  <c r="H4" i="49"/>
  <c r="N7" i="52"/>
  <c r="I7" i="53"/>
  <c r="N7" i="53" s="1"/>
  <c r="I22" i="53"/>
  <c r="I21" i="53"/>
  <c r="N21" i="52"/>
  <c r="N20" i="52"/>
  <c r="I20" i="53"/>
  <c r="N20" i="53" s="1"/>
  <c r="I23" i="52"/>
  <c r="I19" i="53"/>
  <c r="I9" i="53"/>
  <c r="N9" i="53" s="1"/>
  <c r="N9" i="52"/>
  <c r="I8" i="53"/>
  <c r="N8" i="53" s="1"/>
  <c r="N8" i="52"/>
  <c r="I6" i="53"/>
  <c r="N6" i="53" s="1"/>
  <c r="N6" i="52"/>
  <c r="I5" i="53"/>
  <c r="N5" i="53" s="1"/>
  <c r="N5" i="52"/>
  <c r="I10" i="48"/>
  <c r="I4" i="49"/>
  <c r="B28" i="47"/>
  <c r="N22" i="48"/>
  <c r="N23" i="48" s="1"/>
  <c r="B26" i="48" s="1"/>
  <c r="K23" i="48"/>
  <c r="N22" i="49"/>
  <c r="N23" i="49" s="1"/>
  <c r="B26" i="49" s="1"/>
  <c r="K23" i="49"/>
  <c r="D4" i="48"/>
  <c r="D10" i="47"/>
  <c r="B4" i="48"/>
  <c r="B4" i="49" s="1"/>
  <c r="B4" i="50" s="1"/>
  <c r="B10" i="47"/>
  <c r="N4" i="47"/>
  <c r="N10" i="47" s="1"/>
  <c r="B13" i="47" s="1"/>
  <c r="B15" i="47" s="1"/>
  <c r="C4" i="48"/>
  <c r="C10" i="47"/>
  <c r="C44" i="42"/>
  <c r="H32" i="42"/>
  <c r="B34" i="41"/>
  <c r="E34" i="41" s="1"/>
  <c r="C44" i="41"/>
  <c r="C45" i="41" s="1"/>
  <c r="B15" i="41"/>
  <c r="B31" i="43"/>
  <c r="E5" i="46" s="1"/>
  <c r="B34" i="42"/>
  <c r="J32" i="42"/>
  <c r="C45" i="42"/>
  <c r="B28" i="41"/>
  <c r="N22" i="9"/>
  <c r="N21" i="9"/>
  <c r="N20" i="9"/>
  <c r="N9" i="9"/>
  <c r="N23" i="8"/>
  <c r="M10" i="8"/>
  <c r="N8" i="8"/>
  <c r="N5" i="9"/>
  <c r="N8" i="9"/>
  <c r="N6" i="8"/>
  <c r="B24" i="23"/>
  <c r="B24" i="10"/>
  <c r="C22" i="24"/>
  <c r="C23" i="24"/>
  <c r="C24" i="24"/>
  <c r="E33" i="25"/>
  <c r="E30" i="25"/>
  <c r="D35" i="25"/>
  <c r="D36" i="25"/>
  <c r="E36" i="25"/>
  <c r="D32" i="25"/>
  <c r="E35" i="25"/>
  <c r="D30" i="25"/>
  <c r="D34" i="25"/>
  <c r="E32" i="25"/>
  <c r="E34" i="25"/>
  <c r="E31" i="25"/>
  <c r="D31" i="25"/>
  <c r="D33" i="25"/>
  <c r="D35" i="29"/>
  <c r="E34" i="29"/>
  <c r="D34" i="29"/>
  <c r="E32" i="29"/>
  <c r="D31" i="29"/>
  <c r="E31" i="29"/>
  <c r="D30" i="29"/>
  <c r="E30" i="29"/>
  <c r="E35" i="29"/>
  <c r="E36" i="29"/>
  <c r="D36" i="29"/>
  <c r="E33" i="29"/>
  <c r="D33" i="29"/>
  <c r="D32" i="29"/>
  <c r="D36" i="28"/>
  <c r="E30" i="28"/>
  <c r="E36" i="28"/>
  <c r="D30" i="28"/>
  <c r="D35" i="28"/>
  <c r="E35" i="28"/>
  <c r="E34" i="28"/>
  <c r="D34" i="28"/>
  <c r="D33" i="28"/>
  <c r="E33" i="28"/>
  <c r="D32" i="28"/>
  <c r="E32" i="28"/>
  <c r="D31" i="28"/>
  <c r="E31" i="28"/>
  <c r="E31" i="27"/>
  <c r="E36" i="27"/>
  <c r="D33" i="27"/>
  <c r="E32" i="27"/>
  <c r="D31" i="27"/>
  <c r="E30" i="27"/>
  <c r="E35" i="27"/>
  <c r="E34" i="27"/>
  <c r="E33" i="27"/>
  <c r="D32" i="27"/>
  <c r="D30" i="27"/>
  <c r="D35" i="27"/>
  <c r="D36" i="27"/>
  <c r="D34" i="27"/>
  <c r="E33" i="26"/>
  <c r="D38" i="26"/>
  <c r="E48" i="26"/>
  <c r="E31" i="26"/>
  <c r="D33" i="26"/>
  <c r="E38" i="26"/>
  <c r="D31" i="26"/>
  <c r="D49" i="26"/>
  <c r="D48" i="26"/>
  <c r="E32" i="26"/>
  <c r="D32" i="26"/>
  <c r="D42" i="26"/>
  <c r="D37" i="26"/>
  <c r="E47" i="26"/>
  <c r="E41" i="26"/>
  <c r="D30" i="26"/>
  <c r="E42" i="26"/>
  <c r="E37" i="26"/>
  <c r="D47" i="26"/>
  <c r="E45" i="26"/>
  <c r="D36" i="26"/>
  <c r="D40" i="26"/>
  <c r="E43" i="26"/>
  <c r="D35" i="26"/>
  <c r="E46" i="26"/>
  <c r="D46" i="26"/>
  <c r="E30" i="26"/>
  <c r="E40" i="26"/>
  <c r="D43" i="26"/>
  <c r="E35" i="26"/>
  <c r="D45" i="26"/>
  <c r="D41" i="26"/>
  <c r="E36" i="26"/>
  <c r="E44" i="26"/>
  <c r="D39" i="26"/>
  <c r="E34" i="26"/>
  <c r="D44" i="26"/>
  <c r="E39" i="26"/>
  <c r="D34" i="26"/>
  <c r="E49" i="26"/>
  <c r="E33" i="32"/>
  <c r="D30" i="32"/>
  <c r="E36" i="32"/>
  <c r="D33" i="32"/>
  <c r="E30" i="32"/>
  <c r="D32" i="32"/>
  <c r="E32" i="32"/>
  <c r="D36" i="32"/>
  <c r="D35" i="32"/>
  <c r="E35" i="32"/>
  <c r="E34" i="32"/>
  <c r="D34" i="32"/>
  <c r="E31" i="32"/>
  <c r="D31" i="32"/>
  <c r="E32" i="33"/>
  <c r="E36" i="33"/>
  <c r="E30" i="33"/>
  <c r="D30" i="33"/>
  <c r="D31" i="33"/>
  <c r="D36" i="33"/>
  <c r="D34" i="33"/>
  <c r="E34" i="33"/>
  <c r="E35" i="33"/>
  <c r="D35" i="33"/>
  <c r="E33" i="33"/>
  <c r="D33" i="33"/>
  <c r="D32" i="33"/>
  <c r="E31" i="33"/>
  <c r="D30" i="36"/>
  <c r="D31" i="36"/>
  <c r="D33" i="36"/>
  <c r="E30" i="36"/>
  <c r="D36" i="36"/>
  <c r="D32" i="36"/>
  <c r="E36" i="36"/>
  <c r="E35" i="36"/>
  <c r="D35" i="36"/>
  <c r="D34" i="36"/>
  <c r="E34" i="36"/>
  <c r="E31" i="36"/>
  <c r="E33" i="36"/>
  <c r="E32" i="36"/>
  <c r="D33" i="37"/>
  <c r="E33" i="37"/>
  <c r="D32" i="37"/>
  <c r="E32" i="37"/>
  <c r="D31" i="37"/>
  <c r="E31" i="37"/>
  <c r="E36" i="37"/>
  <c r="E30" i="37"/>
  <c r="D36" i="37"/>
  <c r="D30" i="37"/>
  <c r="D35" i="37"/>
  <c r="E35" i="37"/>
  <c r="D34" i="37"/>
  <c r="E34" i="37"/>
  <c r="E30" i="38"/>
  <c r="D31" i="38"/>
  <c r="D36" i="38"/>
  <c r="E36" i="38"/>
  <c r="D35" i="38"/>
  <c r="E35" i="38"/>
  <c r="E34" i="38"/>
  <c r="D34" i="38"/>
  <c r="E31" i="38"/>
  <c r="E33" i="38"/>
  <c r="D33" i="38"/>
  <c r="E32" i="38"/>
  <c r="D32" i="38"/>
  <c r="D30" i="38"/>
  <c r="D36" i="39"/>
  <c r="D31" i="39"/>
  <c r="D34" i="39"/>
  <c r="D35" i="39"/>
  <c r="D33" i="39"/>
  <c r="D32" i="39"/>
  <c r="D30" i="39"/>
  <c r="C10" i="48" l="1"/>
  <c r="C4" i="49"/>
  <c r="J4" i="50"/>
  <c r="J10" i="49"/>
  <c r="N21" i="53"/>
  <c r="L19" i="52"/>
  <c r="L23" i="51"/>
  <c r="N19" i="51"/>
  <c r="B4" i="51"/>
  <c r="B10" i="50"/>
  <c r="F4" i="50"/>
  <c r="F10" i="49"/>
  <c r="G4" i="50"/>
  <c r="G10" i="49"/>
  <c r="D10" i="48"/>
  <c r="D4" i="49"/>
  <c r="H4" i="50"/>
  <c r="H10" i="49"/>
  <c r="L4" i="50"/>
  <c r="L10" i="49"/>
  <c r="E4" i="50"/>
  <c r="E10" i="49"/>
  <c r="K22" i="52"/>
  <c r="K23" i="51"/>
  <c r="N22" i="51"/>
  <c r="I23" i="53"/>
  <c r="I4" i="50"/>
  <c r="I10" i="49"/>
  <c r="N4" i="48"/>
  <c r="N10" i="48" s="1"/>
  <c r="B13" i="48" s="1"/>
  <c r="B15" i="48" s="1"/>
  <c r="B10" i="48"/>
  <c r="B10" i="49"/>
  <c r="B28" i="49"/>
  <c r="B28" i="48"/>
  <c r="B33" i="47"/>
  <c r="B31" i="47"/>
  <c r="F5" i="46" s="1"/>
  <c r="N10" i="8"/>
  <c r="E10" i="10"/>
  <c r="N5" i="23"/>
  <c r="D10" i="10"/>
  <c r="E10" i="23"/>
  <c r="N6" i="23"/>
  <c r="N8" i="23"/>
  <c r="D10" i="23"/>
  <c r="N22" i="23"/>
  <c r="N21" i="23"/>
  <c r="N20" i="23"/>
  <c r="F10" i="23"/>
  <c r="C20" i="24"/>
  <c r="H5" i="24"/>
  <c r="C21" i="24"/>
  <c r="H4" i="24"/>
  <c r="H6" i="24"/>
  <c r="H2" i="24"/>
  <c r="H3" i="24"/>
  <c r="H7" i="24"/>
  <c r="H8" i="24"/>
  <c r="N4" i="49" l="1"/>
  <c r="N10" i="49" s="1"/>
  <c r="B13" i="49" s="1"/>
  <c r="B15" i="49" s="1"/>
  <c r="E4" i="51"/>
  <c r="E10" i="50"/>
  <c r="L19" i="53"/>
  <c r="L23" i="52"/>
  <c r="N19" i="52"/>
  <c r="L10" i="50"/>
  <c r="L4" i="51"/>
  <c r="H4" i="51"/>
  <c r="H10" i="50"/>
  <c r="G4" i="51"/>
  <c r="G10" i="50"/>
  <c r="F4" i="51"/>
  <c r="F10" i="50"/>
  <c r="K22" i="53"/>
  <c r="K23" i="52"/>
  <c r="N22" i="52"/>
  <c r="B4" i="52"/>
  <c r="B10" i="51"/>
  <c r="N23" i="51"/>
  <c r="B26" i="51" s="1"/>
  <c r="B28" i="51" s="1"/>
  <c r="D4" i="50"/>
  <c r="N4" i="50" s="1"/>
  <c r="N10" i="50" s="1"/>
  <c r="B13" i="50" s="1"/>
  <c r="D10" i="49"/>
  <c r="J10" i="50"/>
  <c r="J4" i="51"/>
  <c r="C4" i="50"/>
  <c r="C10" i="49"/>
  <c r="I4" i="51"/>
  <c r="I10" i="50"/>
  <c r="B33" i="49"/>
  <c r="B31" i="49"/>
  <c r="H5" i="46" s="1"/>
  <c r="B33" i="48"/>
  <c r="B31" i="48"/>
  <c r="G5" i="46" s="1"/>
  <c r="B10" i="23"/>
  <c r="N4" i="23"/>
  <c r="F10" i="10"/>
  <c r="N9" i="10"/>
  <c r="C10" i="10"/>
  <c r="C13" i="10" s="1"/>
  <c r="N9" i="5"/>
  <c r="B18" i="23"/>
  <c r="C18" i="23"/>
  <c r="D18" i="23"/>
  <c r="E18" i="23"/>
  <c r="F18" i="23"/>
  <c r="G18" i="23"/>
  <c r="H18" i="23"/>
  <c r="I18" i="23"/>
  <c r="J18" i="23"/>
  <c r="K18" i="23"/>
  <c r="L18" i="23"/>
  <c r="M18" i="23"/>
  <c r="B23" i="23"/>
  <c r="C23" i="23"/>
  <c r="D23" i="23"/>
  <c r="E23" i="23"/>
  <c r="F23" i="23"/>
  <c r="E24" i="24"/>
  <c r="D24" i="24"/>
  <c r="E23" i="24"/>
  <c r="D23" i="24"/>
  <c r="E22" i="24"/>
  <c r="D22" i="24"/>
  <c r="D20" i="24"/>
  <c r="D21" i="24"/>
  <c r="E21" i="24"/>
  <c r="E20" i="24"/>
  <c r="N23" i="52" l="1"/>
  <c r="B26" i="52" s="1"/>
  <c r="B28" i="52" s="1"/>
  <c r="G4" i="52"/>
  <c r="G10" i="51"/>
  <c r="H4" i="52"/>
  <c r="H10" i="51"/>
  <c r="D4" i="51"/>
  <c r="D10" i="50"/>
  <c r="K23" i="53"/>
  <c r="N22" i="53"/>
  <c r="F4" i="52"/>
  <c r="F10" i="51"/>
  <c r="C4" i="51"/>
  <c r="C10" i="50"/>
  <c r="J4" i="52"/>
  <c r="J10" i="51"/>
  <c r="L10" i="51"/>
  <c r="L4" i="52"/>
  <c r="B4" i="53"/>
  <c r="B10" i="53" s="1"/>
  <c r="B10" i="52"/>
  <c r="L23" i="53"/>
  <c r="N19" i="53"/>
  <c r="E4" i="52"/>
  <c r="E10" i="51"/>
  <c r="B15" i="50"/>
  <c r="B33" i="50" s="1"/>
  <c r="B31" i="50"/>
  <c r="I5" i="46" s="1"/>
  <c r="I4" i="52"/>
  <c r="I10" i="51"/>
  <c r="N4" i="51"/>
  <c r="N10" i="51" s="1"/>
  <c r="B13" i="51" s="1"/>
  <c r="C10" i="23"/>
  <c r="N9" i="23"/>
  <c r="C23" i="22"/>
  <c r="C24" i="22"/>
  <c r="C25" i="22"/>
  <c r="C22" i="22"/>
  <c r="C23" i="21"/>
  <c r="C24" i="21"/>
  <c r="C25" i="21"/>
  <c r="C22" i="21"/>
  <c r="C23" i="20"/>
  <c r="C24" i="20"/>
  <c r="C25" i="20"/>
  <c r="C22" i="20"/>
  <c r="C24" i="19"/>
  <c r="C25" i="19"/>
  <c r="C22" i="19"/>
  <c r="C23" i="19"/>
  <c r="C23" i="18"/>
  <c r="C24" i="18"/>
  <c r="C22" i="18"/>
  <c r="C23" i="17"/>
  <c r="C24" i="17"/>
  <c r="C22" i="17"/>
  <c r="B12" i="12"/>
  <c r="H18" i="16"/>
  <c r="C26" i="12"/>
  <c r="C21" i="22"/>
  <c r="H7" i="22"/>
  <c r="H8" i="22"/>
  <c r="H3" i="22"/>
  <c r="H5" i="22"/>
  <c r="H2" i="22"/>
  <c r="H4" i="22"/>
  <c r="H6" i="22"/>
  <c r="C21" i="21"/>
  <c r="H6" i="21"/>
  <c r="H3" i="21"/>
  <c r="H5" i="21"/>
  <c r="H7" i="21"/>
  <c r="H2" i="21"/>
  <c r="H4" i="21"/>
  <c r="H8" i="21"/>
  <c r="C21" i="20"/>
  <c r="H2" i="20"/>
  <c r="H8" i="20"/>
  <c r="H7" i="20"/>
  <c r="H4" i="20"/>
  <c r="H5" i="20"/>
  <c r="H6" i="20"/>
  <c r="H3" i="20"/>
  <c r="C21" i="19"/>
  <c r="H6" i="19"/>
  <c r="H2" i="19"/>
  <c r="H3" i="19"/>
  <c r="H5" i="19"/>
  <c r="H4" i="19"/>
  <c r="H8" i="19"/>
  <c r="H7" i="19"/>
  <c r="C21" i="18"/>
  <c r="H8" i="18"/>
  <c r="H4" i="18"/>
  <c r="H5" i="18"/>
  <c r="H2" i="18"/>
  <c r="H3" i="18"/>
  <c r="H6" i="18"/>
  <c r="H7" i="18"/>
  <c r="C21" i="17"/>
  <c r="H8" i="17"/>
  <c r="H5" i="17"/>
  <c r="H6" i="17"/>
  <c r="H2" i="17"/>
  <c r="H3" i="17"/>
  <c r="H4" i="17"/>
  <c r="H7" i="17"/>
  <c r="C21" i="12"/>
  <c r="J10" i="52" l="1"/>
  <c r="J4" i="53"/>
  <c r="J10" i="53" s="1"/>
  <c r="C4" i="52"/>
  <c r="C10" i="51"/>
  <c r="F4" i="53"/>
  <c r="F10" i="53" s="1"/>
  <c r="F10" i="52"/>
  <c r="D4" i="52"/>
  <c r="D10" i="51"/>
  <c r="E4" i="53"/>
  <c r="E10" i="53" s="1"/>
  <c r="E10" i="52"/>
  <c r="G4" i="53"/>
  <c r="G10" i="53" s="1"/>
  <c r="G10" i="52"/>
  <c r="N23" i="53"/>
  <c r="B26" i="53" s="1"/>
  <c r="B28" i="53" s="1"/>
  <c r="H4" i="53"/>
  <c r="H10" i="53" s="1"/>
  <c r="H10" i="52"/>
  <c r="L4" i="53"/>
  <c r="L10" i="53" s="1"/>
  <c r="L10" i="52"/>
  <c r="B15" i="51"/>
  <c r="B33" i="51" s="1"/>
  <c r="B31" i="51"/>
  <c r="J5" i="46" s="1"/>
  <c r="I4" i="53"/>
  <c r="I10" i="52"/>
  <c r="C24" i="12"/>
  <c r="D22" i="22"/>
  <c r="D21" i="22"/>
  <c r="E24" i="22"/>
  <c r="E22" i="22"/>
  <c r="D25" i="22"/>
  <c r="E21" i="22"/>
  <c r="D23" i="22"/>
  <c r="E23" i="22"/>
  <c r="E25" i="22"/>
  <c r="D24" i="22"/>
  <c r="E25" i="21"/>
  <c r="D21" i="21"/>
  <c r="E23" i="21"/>
  <c r="D23" i="21"/>
  <c r="E24" i="21"/>
  <c r="E22" i="21"/>
  <c r="D24" i="21"/>
  <c r="D22" i="21"/>
  <c r="E21" i="21"/>
  <c r="D25" i="21"/>
  <c r="E22" i="20"/>
  <c r="E25" i="20"/>
  <c r="D22" i="20"/>
  <c r="E23" i="20"/>
  <c r="E24" i="20"/>
  <c r="D23" i="20"/>
  <c r="D21" i="20"/>
  <c r="D24" i="20"/>
  <c r="D25" i="20"/>
  <c r="E21" i="20"/>
  <c r="D21" i="19"/>
  <c r="D22" i="19"/>
  <c r="E21" i="19"/>
  <c r="E25" i="19"/>
  <c r="D25" i="19"/>
  <c r="D24" i="19"/>
  <c r="E24" i="19"/>
  <c r="E23" i="19"/>
  <c r="D23" i="19"/>
  <c r="E22" i="19"/>
  <c r="D23" i="18"/>
  <c r="E24" i="18"/>
  <c r="E22" i="18"/>
  <c r="D22" i="18"/>
  <c r="D21" i="18"/>
  <c r="D24" i="18"/>
  <c r="E23" i="18"/>
  <c r="E21" i="18"/>
  <c r="D23" i="17"/>
  <c r="E24" i="17"/>
  <c r="D22" i="17"/>
  <c r="E23" i="17"/>
  <c r="E21" i="17"/>
  <c r="D21" i="17"/>
  <c r="D24" i="17"/>
  <c r="E22" i="17"/>
  <c r="C4" i="53" l="1"/>
  <c r="C10" i="53" s="1"/>
  <c r="C10" i="52"/>
  <c r="N4" i="52"/>
  <c r="N10" i="52" s="1"/>
  <c r="B13" i="52" s="1"/>
  <c r="D4" i="53"/>
  <c r="D10" i="53" s="1"/>
  <c r="D10" i="52"/>
  <c r="B15" i="52"/>
  <c r="B33" i="52" s="1"/>
  <c r="B31" i="52"/>
  <c r="K5" i="46" s="1"/>
  <c r="N4" i="53"/>
  <c r="N10" i="53" s="1"/>
  <c r="B13" i="53" s="1"/>
  <c r="I10" i="53"/>
  <c r="B33" i="5"/>
  <c r="B10" i="5"/>
  <c r="H8" i="12"/>
  <c r="H3" i="12"/>
  <c r="H7" i="12"/>
  <c r="H5" i="12"/>
  <c r="H6" i="12"/>
  <c r="H2" i="12"/>
  <c r="H4" i="12"/>
  <c r="B15" i="53" l="1"/>
  <c r="B33" i="53" s="1"/>
  <c r="B31" i="53"/>
  <c r="L5" i="46" s="1"/>
  <c r="M18" i="10"/>
  <c r="L18" i="10"/>
  <c r="K18" i="10"/>
  <c r="J18" i="10"/>
  <c r="I18" i="10"/>
  <c r="H18" i="10"/>
  <c r="G18" i="10"/>
  <c r="F18" i="10"/>
  <c r="E18" i="10"/>
  <c r="D18" i="10"/>
  <c r="C18" i="10"/>
  <c r="B18" i="10"/>
  <c r="M18" i="9"/>
  <c r="L18" i="9"/>
  <c r="K18" i="9"/>
  <c r="J18" i="9"/>
  <c r="I18" i="9"/>
  <c r="H18" i="9"/>
  <c r="G18" i="9"/>
  <c r="F18" i="9"/>
  <c r="E18" i="9"/>
  <c r="D18" i="9"/>
  <c r="C18" i="9"/>
  <c r="B18" i="9"/>
  <c r="E22" i="12"/>
  <c r="D22" i="12"/>
  <c r="D24" i="12"/>
  <c r="D20" i="12"/>
  <c r="D23" i="12"/>
  <c r="E21" i="12"/>
  <c r="D21" i="12"/>
  <c r="E23" i="12"/>
  <c r="E20" i="12"/>
  <c r="E24" i="12"/>
  <c r="N22" i="10" l="1"/>
  <c r="F23" i="10"/>
  <c r="F25" i="10" s="1"/>
  <c r="B23" i="10"/>
  <c r="B25" i="10" s="1"/>
  <c r="D23" i="10"/>
  <c r="D25" i="10" s="1"/>
  <c r="E23" i="10"/>
  <c r="E25" i="10" s="1"/>
  <c r="C23" i="10"/>
  <c r="C25" i="10" s="1"/>
  <c r="N8" i="10"/>
  <c r="N6" i="10"/>
  <c r="N5" i="10"/>
  <c r="N20" i="10"/>
  <c r="N21" i="10"/>
  <c r="C27" i="10" l="1"/>
  <c r="C26" i="10"/>
  <c r="E26" i="10"/>
  <c r="E27" i="10"/>
  <c r="D27" i="10"/>
  <c r="D26" i="10"/>
  <c r="B27" i="10"/>
  <c r="B26" i="10"/>
  <c r="F27" i="10"/>
  <c r="F26" i="10"/>
  <c r="G4" i="4"/>
  <c r="J6" i="4" l="1"/>
  <c r="N6" i="3" l="1"/>
  <c r="L23" i="8" l="1"/>
  <c r="K23" i="8"/>
  <c r="I23" i="8"/>
  <c r="H23" i="8"/>
  <c r="G23" i="8"/>
  <c r="F23" i="8"/>
  <c r="E23" i="8"/>
  <c r="D23" i="8"/>
  <c r="C23" i="8"/>
  <c r="B26" i="8" l="1"/>
  <c r="B28" i="8" l="1"/>
  <c r="B22" i="7"/>
  <c r="C22" i="7"/>
  <c r="D22" i="7"/>
  <c r="E22" i="7"/>
  <c r="F22" i="7"/>
  <c r="M18" i="5" l="1"/>
  <c r="L18" i="5"/>
  <c r="K18" i="5"/>
  <c r="J18" i="5"/>
  <c r="I18" i="5"/>
  <c r="H18" i="5"/>
  <c r="G18" i="5"/>
  <c r="F18" i="5"/>
  <c r="E18" i="5"/>
  <c r="D18" i="5"/>
  <c r="C18" i="5"/>
  <c r="B18" i="5"/>
  <c r="M17" i="4"/>
  <c r="L17" i="4"/>
  <c r="K17" i="4"/>
  <c r="J17" i="4"/>
  <c r="I17" i="4"/>
  <c r="H17" i="4"/>
  <c r="G17" i="4"/>
  <c r="F17" i="4"/>
  <c r="E17" i="4"/>
  <c r="D17" i="4"/>
  <c r="C17" i="4"/>
  <c r="B17" i="4"/>
  <c r="L17" i="7" l="1"/>
  <c r="K17" i="7"/>
  <c r="J17" i="7"/>
  <c r="I17" i="7"/>
  <c r="H17" i="7"/>
  <c r="G17" i="7"/>
  <c r="F17" i="7"/>
  <c r="E17" i="7"/>
  <c r="D17" i="7"/>
  <c r="C17" i="7"/>
  <c r="B17" i="7"/>
  <c r="M17" i="7"/>
  <c r="M22" i="7" l="1"/>
  <c r="L22" i="7"/>
  <c r="K22" i="7"/>
  <c r="J22" i="7"/>
  <c r="I22" i="7"/>
  <c r="H22" i="7"/>
  <c r="G22" i="7"/>
  <c r="N21" i="7"/>
  <c r="N20" i="7"/>
  <c r="N19" i="7"/>
  <c r="N18" i="7"/>
  <c r="M9" i="7"/>
  <c r="L9" i="7"/>
  <c r="K9" i="7"/>
  <c r="J9" i="7"/>
  <c r="I9" i="7"/>
  <c r="H9" i="7"/>
  <c r="G9" i="7"/>
  <c r="F9" i="7"/>
  <c r="E9" i="7"/>
  <c r="D9" i="7"/>
  <c r="C9" i="7"/>
  <c r="B9" i="7"/>
  <c r="N8" i="7"/>
  <c r="N7" i="7"/>
  <c r="N6" i="7"/>
  <c r="N5" i="7"/>
  <c r="N4" i="7"/>
  <c r="N22" i="7" l="1"/>
  <c r="N9" i="7"/>
  <c r="B25" i="7" l="1"/>
  <c r="B27" i="7" s="1"/>
  <c r="B12" i="7"/>
  <c r="B14" i="7" s="1"/>
  <c r="B30" i="7" l="1"/>
  <c r="N11" i="2"/>
  <c r="N12" i="2" s="1"/>
  <c r="N8" i="5"/>
  <c r="N21" i="3" l="1"/>
  <c r="N20" i="3"/>
  <c r="N19" i="3"/>
  <c r="N18" i="3"/>
  <c r="M9" i="3"/>
  <c r="N7" i="3"/>
  <c r="N5" i="3"/>
  <c r="N4" i="3"/>
  <c r="N22" i="3" l="1"/>
  <c r="N9" i="3"/>
  <c r="B29" i="3" s="1"/>
  <c r="M22" i="3"/>
  <c r="L22" i="3"/>
  <c r="K22" i="3"/>
  <c r="J22" i="3"/>
  <c r="I22" i="3"/>
  <c r="H22" i="3"/>
  <c r="G22" i="3"/>
  <c r="F22" i="3"/>
  <c r="E22" i="3"/>
  <c r="D22" i="3"/>
  <c r="C22" i="3"/>
  <c r="B22" i="3"/>
  <c r="L9" i="3"/>
  <c r="K9" i="3"/>
  <c r="J9" i="3"/>
  <c r="I9" i="3"/>
  <c r="H9" i="3"/>
  <c r="G9" i="3"/>
  <c r="F9" i="3"/>
  <c r="E9" i="3"/>
  <c r="D9" i="3"/>
  <c r="C9" i="3"/>
  <c r="B9" i="3"/>
  <c r="B13" i="3" l="1"/>
  <c r="B26" i="3"/>
  <c r="N22" i="5"/>
  <c r="N21" i="4"/>
  <c r="N21" i="5"/>
  <c r="N20" i="4"/>
  <c r="N18" i="4"/>
  <c r="N19" i="4"/>
  <c r="N7" i="5"/>
  <c r="N7" i="4"/>
  <c r="N6" i="5"/>
  <c r="N5" i="4"/>
  <c r="N4" i="4"/>
  <c r="N11" i="3"/>
  <c r="N25" i="3" s="1"/>
  <c r="L22" i="4"/>
  <c r="K22" i="4"/>
  <c r="G22" i="4"/>
  <c r="D22" i="4"/>
  <c r="C22" i="4"/>
  <c r="K23" i="5"/>
  <c r="J23" i="5"/>
  <c r="I22" i="4"/>
  <c r="G23" i="5"/>
  <c r="E23" i="5"/>
  <c r="C23" i="5"/>
  <c r="M22" i="4"/>
  <c r="M23" i="5"/>
  <c r="L23" i="5"/>
  <c r="J22" i="4"/>
  <c r="I23" i="5"/>
  <c r="H22" i="4"/>
  <c r="H23" i="5"/>
  <c r="F23" i="5"/>
  <c r="F22" i="4"/>
  <c r="E22" i="4"/>
  <c r="D23" i="5"/>
  <c r="B22" i="4"/>
  <c r="C9" i="4"/>
  <c r="L9" i="4"/>
  <c r="K9" i="4"/>
  <c r="H9" i="4"/>
  <c r="F9" i="4"/>
  <c r="B9" i="4"/>
  <c r="M9" i="4"/>
  <c r="L10" i="5"/>
  <c r="K10" i="5"/>
  <c r="I9" i="4"/>
  <c r="G10" i="5"/>
  <c r="F10" i="5"/>
  <c r="D10" i="5"/>
  <c r="C10" i="5"/>
  <c r="M10" i="5"/>
  <c r="J10" i="5"/>
  <c r="I10" i="5"/>
  <c r="H10" i="5"/>
  <c r="G9" i="4"/>
  <c r="E9" i="4"/>
  <c r="E10" i="5"/>
  <c r="D9" i="4"/>
  <c r="B27" i="3" l="1"/>
  <c r="B14" i="3"/>
  <c r="B23" i="5"/>
  <c r="N22" i="4"/>
  <c r="N19" i="5"/>
  <c r="N20" i="5"/>
  <c r="N5" i="5"/>
  <c r="N4" i="5"/>
  <c r="B26" i="2"/>
  <c r="B27" i="2" s="1"/>
  <c r="B30" i="3" l="1"/>
  <c r="B25" i="4"/>
  <c r="B27" i="4" s="1"/>
  <c r="N23" i="5"/>
  <c r="N10" i="5"/>
  <c r="B13" i="2"/>
  <c r="B14" i="2" s="1"/>
  <c r="B30" i="2" s="1"/>
  <c r="B26" i="5" l="1"/>
  <c r="B28" i="5" s="1"/>
  <c r="B13" i="5"/>
  <c r="B15" i="5" s="1"/>
  <c r="B26" i="1"/>
  <c r="B27" i="1" s="1"/>
  <c r="B13" i="1"/>
  <c r="B14" i="1" s="1"/>
  <c r="B30" i="1" l="1"/>
  <c r="B31" i="5"/>
  <c r="J9" i="4"/>
  <c r="N6" i="4"/>
  <c r="N9" i="4" s="1"/>
  <c r="B12" i="4" l="1"/>
  <c r="B14" i="4" s="1"/>
  <c r="B30" i="4" s="1"/>
  <c r="B13" i="8" l="1"/>
  <c r="B15" i="8" s="1"/>
  <c r="B31" i="8" s="1"/>
  <c r="N4" i="9" l="1"/>
  <c r="H23" i="10" l="1"/>
  <c r="L23" i="10"/>
  <c r="J23" i="10"/>
  <c r="I23" i="23"/>
  <c r="K23" i="23"/>
  <c r="M23" i="23"/>
  <c r="G23" i="9"/>
  <c r="N19" i="9"/>
  <c r="N23" i="9" s="1"/>
  <c r="B27" i="9" s="1"/>
  <c r="B28" i="9" l="1"/>
  <c r="K23" i="10"/>
  <c r="M23" i="10"/>
  <c r="L23" i="23"/>
  <c r="H23" i="23"/>
  <c r="N19" i="10"/>
  <c r="N23" i="10" s="1"/>
  <c r="J23" i="23"/>
  <c r="G23" i="23"/>
  <c r="G23" i="10"/>
  <c r="C5" i="6"/>
  <c r="I23" i="10"/>
  <c r="B29" i="10" l="1"/>
  <c r="B31" i="10" s="1"/>
  <c r="N19" i="23"/>
  <c r="N23" i="23" s="1"/>
  <c r="B26" i="23" s="1"/>
  <c r="D5" i="6" l="1"/>
  <c r="B28" i="23"/>
  <c r="E5" i="6"/>
  <c r="H10" i="10"/>
  <c r="H25" i="10" s="1"/>
  <c r="H27" i="10" s="1"/>
  <c r="I10" i="23"/>
  <c r="I10" i="10"/>
  <c r="I25" i="10" s="1"/>
  <c r="M10" i="10"/>
  <c r="M25" i="10" s="1"/>
  <c r="J10" i="23"/>
  <c r="J10" i="10"/>
  <c r="J25" i="10" s="1"/>
  <c r="L10" i="23"/>
  <c r="K10" i="23"/>
  <c r="N7" i="9"/>
  <c r="N10" i="9" s="1"/>
  <c r="B14" i="9" s="1"/>
  <c r="I26" i="10" l="1"/>
  <c r="I27" i="10"/>
  <c r="J26" i="10"/>
  <c r="J27" i="10"/>
  <c r="M26" i="10"/>
  <c r="M27" i="10"/>
  <c r="H26" i="10"/>
  <c r="B15" i="9"/>
  <c r="K10" i="10"/>
  <c r="K25" i="10" s="1"/>
  <c r="G10" i="10"/>
  <c r="G25" i="10" s="1"/>
  <c r="G10" i="23"/>
  <c r="C4" i="6"/>
  <c r="C6" i="6" s="1"/>
  <c r="D12" i="6" s="1"/>
  <c r="D14" i="6" s="1"/>
  <c r="M10" i="23"/>
  <c r="N7" i="10"/>
  <c r="N10" i="10" s="1"/>
  <c r="N25" i="10" s="1"/>
  <c r="L10" i="10"/>
  <c r="L25" i="10" s="1"/>
  <c r="H10" i="23"/>
  <c r="G27" i="10" l="1"/>
  <c r="G26" i="10"/>
  <c r="K26" i="10"/>
  <c r="K27" i="10"/>
  <c r="L27" i="10"/>
  <c r="L26" i="10"/>
  <c r="B13" i="10"/>
  <c r="B34" i="10" s="1"/>
  <c r="B37" i="10" s="1"/>
  <c r="N7" i="23"/>
  <c r="N10" i="23" s="1"/>
  <c r="B13" i="23" s="1"/>
  <c r="B31" i="23" s="1"/>
  <c r="D5" i="46" s="1"/>
  <c r="B28" i="10" l="1"/>
  <c r="B33" i="10"/>
  <c r="A28" i="10" s="1"/>
  <c r="B15" i="10"/>
  <c r="D4" i="6"/>
  <c r="D6" i="6" s="1"/>
  <c r="N27" i="10"/>
  <c r="N26" i="10"/>
  <c r="E4" i="6"/>
  <c r="E6" i="6" s="1"/>
  <c r="B15" i="23"/>
  <c r="B33" i="2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17B74B-F66A-468D-9947-004AF0A0A3C0}" keepAlive="1" name="Query - Table010 (Page 2)" description="Connection to the 'Table010 (Page 2)' query in the workbook." type="5" refreshedVersion="8" background="1" saveData="1">
    <dbPr connection="Provider=Microsoft.Mashup.OleDb.1;Data Source=$Workbook$;Location=&quot;Table010 (Page 2)&quot;;Extended Properties=&quot;&quot;" command="SELECT * FROM [Table010 (Page 2)]"/>
  </connection>
  <connection id="2" xr16:uid="{47773ABF-1027-4EE2-AD06-7A978F88EAE5}" keepAlive="1" name="Query - Table010 (Page 2) (2)" description="Connection to the 'Table010 (Page 2) (2)' query in the workbook." type="5" refreshedVersion="8" background="1" saveData="1">
    <dbPr connection="Provider=Microsoft.Mashup.OleDb.1;Data Source=$Workbook$;Location=&quot;Table010 (Page 2) (2)&quot;;Extended Properties=&quot;&quot;" command="SELECT * FROM [Table010 (Page 2) (2)]"/>
  </connection>
  <connection id="3" xr16:uid="{AA00805C-5A85-4BBC-B5B9-0E7DA1A3088E}" keepAlive="1" name="Query - Table010 (Page 2) (3)" description="Connection to the 'Table010 (Page 2) (3)' query in the workbook." type="5" refreshedVersion="8" background="1" saveData="1">
    <dbPr connection="Provider=Microsoft.Mashup.OleDb.1;Data Source=$Workbook$;Location=&quot;Table010 (Page 2) (3)&quot;;Extended Properties=&quot;&quot;" command="SELECT * FROM [Table010 (Page 2) (3)]"/>
  </connection>
</connections>
</file>

<file path=xl/sharedStrings.xml><?xml version="1.0" encoding="utf-8"?>
<sst xmlns="http://schemas.openxmlformats.org/spreadsheetml/2006/main" count="969" uniqueCount="242">
  <si>
    <t xml:space="preserve">Projected Mangaung Bulk Purchases - 2018/2019 Financial Year </t>
  </si>
  <si>
    <t>Town</t>
  </si>
  <si>
    <t>Grand Totals</t>
  </si>
  <si>
    <t>Megaflex - Bloemfontein</t>
  </si>
  <si>
    <t>Megaflex - Botshabelo</t>
  </si>
  <si>
    <t>Miniflex - Botshabelo Jazzman DC 132kV</t>
  </si>
  <si>
    <t>Ruraflex Interval - Thaba Nchu</t>
  </si>
  <si>
    <t>TOTAL</t>
  </si>
  <si>
    <t>Projected Naledi Bulk Purchases - 2018/2019 Financial Year</t>
  </si>
  <si>
    <t>Ruraflex Interval - Van Stadensrus</t>
  </si>
  <si>
    <t>Ruraflex Interval - Dewetsdorp</t>
  </si>
  <si>
    <t>Ruraflex Interval - Wepener</t>
  </si>
  <si>
    <t>Ruraflex Interval - Wepener (Kanana Township)</t>
  </si>
  <si>
    <t>Actuals</t>
  </si>
  <si>
    <t>Approved Budged 2018/2019</t>
  </si>
  <si>
    <t xml:space="preserve">Mid Year Review 2018/2019 Projection </t>
  </si>
  <si>
    <t>Shortfall</t>
  </si>
  <si>
    <t>PAYMENT ARRANGEMENT - Megaflex - Bloemfontein</t>
  </si>
  <si>
    <t>Projections - With 7.23% Increase from Eskom</t>
  </si>
  <si>
    <t>Projections - With -1.6% Increase from Eskom</t>
  </si>
  <si>
    <t>Projections - With only 0.27% Increase from Eskom</t>
  </si>
  <si>
    <t xml:space="preserve">Total Shortfall Mid Year Review 2018/2019 Projection </t>
  </si>
  <si>
    <t xml:space="preserve">Projected Mangaung Bulk Purchases - 2020/2021 Financial Year </t>
  </si>
  <si>
    <t xml:space="preserve">Mid Year Review 2020/2021 Projection </t>
  </si>
  <si>
    <t>Projected Naledi Bulk Purchases - 2020/2021 Financial Year</t>
  </si>
  <si>
    <t xml:space="preserve">Total Shortfall Mid Year Review 2020/2021 Projection </t>
  </si>
  <si>
    <t xml:space="preserve">Mid Year Review 2021/2022 Projection </t>
  </si>
  <si>
    <t>Projected Naledi Bulk Purchases - 2021/2022 Financial Year</t>
  </si>
  <si>
    <t>AREAS</t>
  </si>
  <si>
    <t xml:space="preserve">CENTLEC </t>
  </si>
  <si>
    <t>NALEDI</t>
  </si>
  <si>
    <t xml:space="preserve">Projected Mangaung Bulk Purchases - 2022/2023 Financial Year </t>
  </si>
  <si>
    <t xml:space="preserve">Mid Year Review 2022/2023 Projection </t>
  </si>
  <si>
    <t>Projected Naledi Bulk Purchases - 2022/2023 Financial Year</t>
  </si>
  <si>
    <t xml:space="preserve">Total Shortfall Mid Year Review 2022/2023 Projection </t>
  </si>
  <si>
    <t>Draft Budget Naledi 2020/2021</t>
  </si>
  <si>
    <t>Draft Budget Mangaung 2020/2021</t>
  </si>
  <si>
    <t>Draft Budget 2021/2022</t>
  </si>
  <si>
    <t>Draft Budget 2022/2023</t>
  </si>
  <si>
    <t>BULK PURCHASES</t>
  </si>
  <si>
    <t>FBE Expense</t>
  </si>
  <si>
    <t>Bulk Purchase excl FBE expense</t>
  </si>
  <si>
    <t xml:space="preserve">Projected Mangaung Bulk Purchases - 2023/2024 Financial Year </t>
  </si>
  <si>
    <t>Approved Budged 2023/2024</t>
  </si>
  <si>
    <t xml:space="preserve">Mid Year Review 2023/2024 Projection </t>
  </si>
  <si>
    <t>Projected Naledi Bulk Purchases - 2023/2024 Financial Year</t>
  </si>
  <si>
    <t>Approved Budged 2020/2021</t>
  </si>
  <si>
    <t>Total Adjusted Budget  2020/2021</t>
  </si>
  <si>
    <t xml:space="preserve">Budget shortfall </t>
  </si>
  <si>
    <t>DESCRIPTION</t>
  </si>
  <si>
    <t>MTREF 22-23</t>
  </si>
  <si>
    <t>MTREF 23-24</t>
  </si>
  <si>
    <t>MTREF 24-25</t>
  </si>
  <si>
    <t>SERVICE CHARGES</t>
  </si>
  <si>
    <t>Projected Naledi Bulk Purchases - 2024/2025 Financial Year</t>
  </si>
  <si>
    <t xml:space="preserve">Projected Mangaung Bulk Purchases - 2025/2026 Financial Year </t>
  </si>
  <si>
    <t>Projected Naledi Bulk Purchases - 2025/2026 Financial Year</t>
  </si>
  <si>
    <t>Approved Budged 2024/2025</t>
  </si>
  <si>
    <t xml:space="preserve">Mid Year Review 2025/2026 Projection </t>
  </si>
  <si>
    <t xml:space="preserve">Total Shortfall Mid Year Review 2025/2026 Projection </t>
  </si>
  <si>
    <t xml:space="preserve">Mid Year Review 2024/2025 Projection </t>
  </si>
  <si>
    <t>ANNEXURE H- BULK PURCHASE</t>
  </si>
  <si>
    <t xml:space="preserve">Projected Mangaung Bulk Purchases - 2024/2025 Financial Year </t>
  </si>
  <si>
    <t>Public Lighting - Selosesha</t>
  </si>
  <si>
    <t>Month</t>
  </si>
  <si>
    <t>Forecast(Megaflex - Bloemfontein)</t>
  </si>
  <si>
    <t>Lower Confidence Bound(Megaflex - Bloemfontein)</t>
  </si>
  <si>
    <t>Upper Confidence Bound(Megaflex - Bloemfontein)</t>
  </si>
  <si>
    <t>Statistic</t>
  </si>
  <si>
    <t>Value</t>
  </si>
  <si>
    <t>Alpha</t>
  </si>
  <si>
    <t>Beta</t>
  </si>
  <si>
    <t>Gamma</t>
  </si>
  <si>
    <t>MASE</t>
  </si>
  <si>
    <t>SMAPE</t>
  </si>
  <si>
    <t>MAE</t>
  </si>
  <si>
    <t>RMSE</t>
  </si>
  <si>
    <t>Column1</t>
  </si>
  <si>
    <t>Column2</t>
  </si>
  <si>
    <t>Column3</t>
  </si>
  <si>
    <t>Column4</t>
  </si>
  <si>
    <t>Column5</t>
  </si>
  <si>
    <t>Column6</t>
  </si>
  <si>
    <t>CONSUMPTION DETAILS</t>
  </si>
  <si>
    <t>(2022-05-30 - 2022-06-27)</t>
  </si>
  <si>
    <t>ENERGY CONSUMPTION OFF PEAK kWH</t>
  </si>
  <si>
    <t>ENERGY CONSUMPTION STD kWh</t>
  </si>
  <si>
    <t>ENERGY CONSUMPTION PEAK kWh</t>
  </si>
  <si>
    <t>ENERGY CONSUMPTION ALL kWh</t>
  </si>
  <si>
    <t>DEMAND CONSUMPTION - OFF PEAK</t>
  </si>
  <si>
    <t>DEMAND CONSUMPTION - STD</t>
  </si>
  <si>
    <t>DEMAND CONSUMPTION - PEAK</t>
  </si>
  <si>
    <t>DEMAND READING - KW/KVA</t>
  </si>
  <si>
    <t>REACTIVE ENERGY - OFF PEAK</t>
  </si>
  <si>
    <t>REACTIVE ENERGY - STD</t>
  </si>
  <si>
    <t>REACTIVE ENERGY - PEAK</t>
  </si>
  <si>
    <t>LOAD FACTOR</t>
  </si>
  <si>
    <t>11</t>
  </si>
  <si>
    <t>PREMISE ID NUMBER</t>
  </si>
  <si>
    <t>8788326006</t>
  </si>
  <si>
    <t>TARIFF NAME:</t>
  </si>
  <si>
    <t>Megaflex</t>
  </si>
  <si>
    <t>BULK BLOEMFONTEIN</t>
  </si>
  <si>
    <t>Administration Charge @ R173.57 per day for 15 days</t>
  </si>
  <si>
    <t>R</t>
  </si>
  <si>
    <t>TX Network Capacity Charge 323,000 kVa @ R10.90 : (for 15 of 30 days) = R5.45/kV</t>
  </si>
  <si>
    <t>Network Capacity Charge 323,000 kVA @ R7.96 : (for 15 of 30 days) = R3.98/kVA</t>
  </si>
  <si>
    <t>Network Demand Charge 225,022.88 kVA @ R14.73 : (for 15 of 30 days) = R7.365 /kV</t>
  </si>
  <si>
    <t>Urban Low Voltage Subsidy 323,000 kVa @ R19.50 : (for 15 of 30 days) = R9.75/kVA</t>
  </si>
  <si>
    <t>Ancillary Service Charge 57,883,200 kWh @ R0.0051 /kWh</t>
  </si>
  <si>
    <t>Low Season Standard Energy Charge 22,374,240 kWh @ R0.9445 /kWh</t>
  </si>
  <si>
    <t>Low Season Peak Energy Charge 9,910,920 kWh @ R1.3724 /kWh</t>
  </si>
  <si>
    <t>Low Season Off Peak Energy Charge 25,598,040 kWh @ R0.599 /kWh</t>
  </si>
  <si>
    <t>Electrification and Rural Subsidy 57,883,200 kWh @ R0.108 /kWh</t>
  </si>
  <si>
    <t>Administration Charge @ R173.57 per day for 29 days</t>
  </si>
  <si>
    <t>TX Network Capacity Charge 323,000 kVa @ R10.90 :</t>
  </si>
  <si>
    <t>= R10.90/kVA</t>
  </si>
  <si>
    <t>Network Capacity Charge 323,000 kVA @ R7.96 :</t>
  </si>
  <si>
    <t>= R7.96/kVA</t>
  </si>
  <si>
    <t>Network Demand Charge 254,642.71 kVA @ R14.73 :</t>
  </si>
  <si>
    <t>= R14.73 /kVA</t>
  </si>
  <si>
    <t>Urban Low Voltage Subsidy 323,000 kVa @ R19.50 :</t>
  </si>
  <si>
    <t>= R19.50/kVA</t>
  </si>
  <si>
    <t>Ancillary Service Charge 120,344,280 kWh @ R0.0051 /kWh</t>
  </si>
  <si>
    <t>Low Season Standard Energy Charge 4,346,640 kWh @ R0.9445 /kWh</t>
  </si>
  <si>
    <t>Low Season Peak Energy Charge 2,183,760 kWh @ R1.3724 /kWh</t>
  </si>
  <si>
    <t>High Season Peak Energy Charge 19,307,760 kWh @ R4.2071 /kWh</t>
  </si>
  <si>
    <t>High Season Off Peak Energy Charge 46,516,200 kWh @ R0.692 /kWh</t>
  </si>
  <si>
    <t>High Season Standard Energy Charge 45,921,120 kWh @ R1.2744 /kWh</t>
  </si>
  <si>
    <t>Low Season Off Peak Energy Charge 2,068,800 kWh @ R0.599 /kWh</t>
  </si>
  <si>
    <t>Electrification and Rural Subsidy 120,344,280 kWh @ R0.108 /kWh</t>
  </si>
  <si>
    <t>High Season Reactive energy Charge 0 kvarh @ R0.1951 /kvarh</t>
  </si>
  <si>
    <t>High Season Reactive energy Charge 0 kvarh @ R0.2119 /kvarh</t>
  </si>
  <si>
    <t>SERVICE CHARGE</t>
  </si>
  <si>
    <t>(2023-06-28 - 2023-07-27)</t>
  </si>
  <si>
    <t>Administration Charge @ R219.87 per day for 30 days</t>
  </si>
  <si>
    <t>TX Network Capacity Charge 323,000 kVa @ R11.84 : (for 3 of 30 days) = R1.184/kV</t>
  </si>
  <si>
    <t>TX Network Capacity Charge 323,000 kVa @ R14.03 : (for 27 of 30 days) = R12.627/</t>
  </si>
  <si>
    <t>Network Capacity Charge 323,000 kVA @ R8.65 : (for 3 of 30 days) = R0.865/kVA</t>
  </si>
  <si>
    <t>Network Capacity Charge 323,000 kVA @ R10.25 : (for 27 of 30 days) = R9.225/kVA</t>
  </si>
  <si>
    <t>Network Demand Charge 244,399.67 kVA @ R16.00 : (for 3 of 30 days) = R1.60 /kVA</t>
  </si>
  <si>
    <t>Network Demand Charge 244,399.67 kVA @ R18.96 : (for 27 of 30 days) = R17.064 /k</t>
  </si>
  <si>
    <t>Urban Low Voltage Subsidy 323,000 kVa @ R21.18 : (for 3 of 30 days) = R2.118/kVA</t>
  </si>
  <si>
    <t>Urban Low Voltage Subsidy 323,000 kVa @ R25.10 : (for 27 of 30 days) = R22.59/kV</t>
  </si>
  <si>
    <t>Ancillary Service Charge 12,260,640 kWh @ R0.0055 /kWh</t>
  </si>
  <si>
    <t>Ancillary Service Charge 106,684,680 kWh @ R0.0065 /kWh</t>
  </si>
  <si>
    <t>High Season Peak Energy Charge 2,946,720 kWh @ R4.5693 /kWh</t>
  </si>
  <si>
    <t>High Season Off Peak Energy Charge 2,999,400 kWh @ R0.7516 /kWh</t>
  </si>
  <si>
    <t>High Season Standard Energy Charge 6,314,520 kWh @ R1.3841 /kWh</t>
  </si>
  <si>
    <t>High Season Off Peak Energy Charge 43,325,160 kWh @ R0.8906 /kWh</t>
  </si>
  <si>
    <t>High Season Peak Energy Charge 19,224,840 kWh @ R5.4141 /kWh</t>
  </si>
  <si>
    <t>High Season Standard Energy Charge 44,134,680 kWh @ R1.64 /kWh</t>
  </si>
  <si>
    <t>Electrification and Rural Subsidy 12,260,640 kWh @ R0.1173 /kWh</t>
  </si>
  <si>
    <t>Electrification and Rural Subsidy 106,684,680 kWh @ R0.139 /kWh</t>
  </si>
  <si>
    <t>High Season Reactive energy Charge 0 kvarh @ R0.2511 /kvarh</t>
  </si>
  <si>
    <t>3days</t>
  </si>
  <si>
    <t>Forecast(Megaflex - Botshabelo)</t>
  </si>
  <si>
    <t>Lower Confidence Bound(Megaflex - Botshabelo)</t>
  </si>
  <si>
    <t>Upper Confidence Bound(Megaflex - Botshabelo)</t>
  </si>
  <si>
    <t>Forecast(Ruraflex Interval - Thaba Nchu)</t>
  </si>
  <si>
    <t>Lower Confidence Bound(Ruraflex Interval - Thaba Nchu)</t>
  </si>
  <si>
    <t>Upper Confidence Bound(Ruraflex Interval - Thaba Nchu)</t>
  </si>
  <si>
    <t>Timeline</t>
  </si>
  <si>
    <t>Values</t>
  </si>
  <si>
    <t>Forecast</t>
  </si>
  <si>
    <t>Lower Confidence Bound</t>
  </si>
  <si>
    <t>Upper Confidence Bound</t>
  </si>
  <si>
    <t>Ikgomotseng Streetlight Soutpan</t>
  </si>
  <si>
    <t>MTREF 2025-2026</t>
  </si>
  <si>
    <t>Budget 2024-2025</t>
  </si>
  <si>
    <t>MTREF 2026-2027</t>
  </si>
  <si>
    <t xml:space="preserve">Projected Mangaung Bulk Purchases - 2026/2027 Financial Year </t>
  </si>
  <si>
    <t>Projected Naledi Bulk Purchases - 2026/2027 Financial Year</t>
  </si>
  <si>
    <t>FBE EXPENSE 2024-2025</t>
  </si>
  <si>
    <t>Projections</t>
  </si>
  <si>
    <t>Jazzman</t>
  </si>
  <si>
    <t>wepener kanana</t>
  </si>
  <si>
    <t>Selosesha</t>
  </si>
  <si>
    <t>ikgomotseng</t>
  </si>
  <si>
    <t xml:space="preserve">Total Shortfall Mid Year Review 2024/2025 Projection </t>
  </si>
  <si>
    <t>Percentage to date Current Budget:</t>
  </si>
  <si>
    <t>Percentage to date Adjusted Budget:</t>
  </si>
  <si>
    <t>Approved Revenue:</t>
  </si>
  <si>
    <t>Approved Bulk Purchases:</t>
  </si>
  <si>
    <t>Percentage:</t>
  </si>
  <si>
    <t>Adjusted Revenue:</t>
  </si>
  <si>
    <t>Adjusted Bulk Purchases:</t>
  </si>
  <si>
    <t>Percentage of Projected Bulk Purchases to Projected Revenue before Adjustment</t>
  </si>
  <si>
    <t>Percentage of Projected Bulk Purchases to Projected Revenue after Adjustment</t>
  </si>
  <si>
    <t>ANNEXURE H</t>
  </si>
  <si>
    <t xml:space="preserve">Mid Year Review 2026/2027 Projection </t>
  </si>
  <si>
    <t>Eskom Increase:</t>
  </si>
  <si>
    <t xml:space="preserve">Projected Mangaung Bulk Purchases - 2027/2028 Financial Year </t>
  </si>
  <si>
    <t>Projected Naledi Bulk Purchases - 2027/2028 Financial Year</t>
  </si>
  <si>
    <t>Projected Budged 2025/2026</t>
  </si>
  <si>
    <t>Projected Budged 2026/2027</t>
  </si>
  <si>
    <t>Eskom Increase2025/2026 FY:</t>
  </si>
  <si>
    <t>Adjusted to meet the request from Finance</t>
  </si>
  <si>
    <t>NMD Adjustment</t>
  </si>
  <si>
    <t>Projections with ESKOM Increase - 11,32%</t>
  </si>
  <si>
    <t>Actuals for April and May and more realistic projection for June 2025</t>
  </si>
  <si>
    <t>Original Projections (April 2025 Submission)</t>
  </si>
  <si>
    <t>Actuals/Realistic Projections</t>
  </si>
  <si>
    <t>Variance</t>
  </si>
  <si>
    <t>Variance %</t>
  </si>
  <si>
    <t>Total Q4 Impact</t>
  </si>
  <si>
    <t>Budget Item</t>
  </si>
  <si>
    <t>Original Budget</t>
  </si>
  <si>
    <t>Revised Budget</t>
  </si>
  <si>
    <t>Revenue</t>
  </si>
  <si>
    <t>Eskom Bulk Purchases</t>
  </si>
  <si>
    <t>Net Impact on Budget</t>
  </si>
  <si>
    <t>Percentage Error:</t>
  </si>
  <si>
    <t>Months Already Updated: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</si>
  <si>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</si>
  <si>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</si>
  <si>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</si>
  <si>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</si>
  <si>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</si>
  <si>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</si>
  <si>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</si>
  <si>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</si>
  <si>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</si>
  <si>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</si>
  <si>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</si>
  <si>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</si>
  <si>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Projected Mangaung Bulk Purchases - 2028/2029 Financial Year </t>
  </si>
  <si>
    <t>Projected Naledi Bulk Purchases - 2028/2029 Financial Year</t>
  </si>
  <si>
    <t xml:space="preserve">Projected Mangaung Bulk Purchases - 2029/2030 Financial Year </t>
  </si>
  <si>
    <t>Projected Naledi Bulk Purchases - 2029/2030 Financial Year</t>
  </si>
  <si>
    <t xml:space="preserve">Projected Mangaung Bulk Purchases - 2030/2031 Financial Year </t>
  </si>
  <si>
    <t>Projected Naledi Bulk Purchases - 2030/2031 Financial Year</t>
  </si>
  <si>
    <t xml:space="preserve">Projected Mangaung Bulk Purchases - 2031/2032 Financial Year </t>
  </si>
  <si>
    <t>Projected Naledi Bulk Purchases - 2031/2032 Financial Year</t>
  </si>
  <si>
    <t xml:space="preserve">Projected Mangaung Bulk Purchases - 2032/2033 Financial Year </t>
  </si>
  <si>
    <t>Projected Naledi Bulk Purchases - 2032/2033 Financial Year</t>
  </si>
  <si>
    <t xml:space="preserve">Projected Mangaung Bulk Purchases - 2033/2034 Financial Year </t>
  </si>
  <si>
    <t>Projected Naledi Bulk Purchases - 2033/2034 Financial Year</t>
  </si>
  <si>
    <t xml:space="preserve">Projected Mangaung Bulk Purchases - 2034/2035 Financial Year </t>
  </si>
  <si>
    <t>Projected Naledi Bulk Purchases - 2034/2035 Financial Year</t>
  </si>
  <si>
    <t>Projections with projected CPI</t>
  </si>
  <si>
    <t>Projections with ESKOM Increase - 9,1%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</si>
</sst>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R&quot;\ #,##0.00;[Red]&quot;R&quot;\ \-#,##0.00"/>
    <numFmt numFmtId="166" formatCode="_ * #,##0.00_ ;_ * \-#,##0.00_ ;_ * &quot;-&quot;??_ ;_ @_ "/>
    <numFmt numFmtId="167" formatCode="[$-409]mmmm\-yy;@"/>
    <numFmt numFmtId="168" formatCode="[$R-434]\ #,##0.00"/>
    <numFmt numFmtId="169" formatCode="_(* #,##0_);_(* \(#,##0\);_(* &quot;-&quot;??_);_(@_)"/>
    <numFmt numFmtId="170" formatCode="&quot;R&quot;\ #,##0.00"/>
    <numFmt numFmtId="171" formatCode="[$R-434]#,##0.00"/>
    <numFmt numFmtId="172" formatCode="&quot;R&quot;\ #,##0"/>
    <numFmt numFmtId="173" formatCode="&quot;R&quot;\ #,##0.000"/>
    <numFmt numFmtId="174" formatCode="#,##0.000"/>
    <numFmt numFmtId="175" formatCode="_-[$R-1C09]* #,##0.00_-;\-[$R-1C09]* #,##0.00_-;_-[$R-1C09]* &quot;-&quot;??_-;_-@_-"/>
    <numFmt numFmtId="176" formatCode="&quot;R&quot;#,##0.00"/>
    <numFmt numFmtId="177" formatCode="&quot;R&quot;#,##0.000"/>
    <numFmt numFmtId="178" formatCode="[$R-434]#,##0"/>
    <numFmt numFmtId="179" formatCode="dd\ mmm\ yyyy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2"/>
      <color theme="1"/>
      <name val="Arial Narrow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8"/>
      <color theme="8" tint="0.3999755851924192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5" fillId="0" borderId="0" applyNumberFormat="0" applyBorder="0" applyAlignment="0"/>
  </cellStyleXfs>
  <cellXfs count="315">
    <xf numFmtId="0" fontId="0" fillId="0" borderId="0" xfId="0"/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0" xfId="0" applyFont="1"/>
    <xf numFmtId="168" fontId="4" fillId="2" borderId="15" xfId="0" applyNumberFormat="1" applyFont="1" applyFill="1" applyBorder="1"/>
    <xf numFmtId="167" fontId="2" fillId="3" borderId="1" xfId="0" applyNumberFormat="1" applyFont="1" applyFill="1" applyBorder="1"/>
    <xf numFmtId="167" fontId="2" fillId="3" borderId="2" xfId="0" applyNumberFormat="1" applyFont="1" applyFill="1" applyBorder="1"/>
    <xf numFmtId="168" fontId="4" fillId="3" borderId="7" xfId="0" applyNumberFormat="1" applyFont="1" applyFill="1" applyBorder="1"/>
    <xf numFmtId="168" fontId="4" fillId="3" borderId="8" xfId="0" applyNumberFormat="1" applyFont="1" applyFill="1" applyBorder="1"/>
    <xf numFmtId="168" fontId="1" fillId="2" borderId="8" xfId="0" applyNumberFormat="1" applyFont="1" applyFill="1" applyBorder="1"/>
    <xf numFmtId="168" fontId="4" fillId="3" borderId="10" xfId="0" applyNumberFormat="1" applyFont="1" applyFill="1" applyBorder="1"/>
    <xf numFmtId="168" fontId="2" fillId="3" borderId="1" xfId="0" applyNumberFormat="1" applyFont="1" applyFill="1" applyBorder="1"/>
    <xf numFmtId="168" fontId="4" fillId="3" borderId="1" xfId="0" applyNumberFormat="1" applyFont="1" applyFill="1" applyBorder="1"/>
    <xf numFmtId="168" fontId="2" fillId="3" borderId="7" xfId="0" applyNumberFormat="1" applyFont="1" applyFill="1" applyBorder="1"/>
    <xf numFmtId="168" fontId="2" fillId="3" borderId="6" xfId="0" applyNumberFormat="1" applyFont="1" applyFill="1" applyBorder="1"/>
    <xf numFmtId="168" fontId="3" fillId="3" borderId="17" xfId="0" applyNumberFormat="1" applyFont="1" applyFill="1" applyBorder="1"/>
    <xf numFmtId="168" fontId="2" fillId="3" borderId="18" xfId="0" applyNumberFormat="1" applyFont="1" applyFill="1" applyBorder="1"/>
    <xf numFmtId="168" fontId="2" fillId="3" borderId="8" xfId="0" applyNumberFormat="1" applyFont="1" applyFill="1" applyBorder="1"/>
    <xf numFmtId="168" fontId="2" fillId="3" borderId="10" xfId="0" applyNumberFormat="1" applyFont="1" applyFill="1" applyBorder="1"/>
    <xf numFmtId="168" fontId="2" fillId="3" borderId="16" xfId="0" applyNumberFormat="1" applyFont="1" applyFill="1" applyBorder="1"/>
    <xf numFmtId="168" fontId="2" fillId="3" borderId="14" xfId="0" applyNumberFormat="1" applyFont="1" applyFill="1" applyBorder="1"/>
    <xf numFmtId="168" fontId="2" fillId="3" borderId="15" xfId="0" applyNumberFormat="1" applyFont="1" applyFill="1" applyBorder="1"/>
    <xf numFmtId="168" fontId="4" fillId="2" borderId="20" xfId="0" applyNumberFormat="1" applyFont="1" applyFill="1" applyBorder="1"/>
    <xf numFmtId="167" fontId="3" fillId="2" borderId="2" xfId="0" applyNumberFormat="1" applyFont="1" applyFill="1" applyBorder="1"/>
    <xf numFmtId="167" fontId="3" fillId="2" borderId="3" xfId="0" applyNumberFormat="1" applyFont="1" applyFill="1" applyBorder="1"/>
    <xf numFmtId="0" fontId="3" fillId="2" borderId="5" xfId="0" applyFont="1" applyFill="1" applyBorder="1"/>
    <xf numFmtId="168" fontId="3" fillId="2" borderId="5" xfId="0" applyNumberFormat="1" applyFont="1" applyFill="1" applyBorder="1"/>
    <xf numFmtId="168" fontId="1" fillId="2" borderId="16" xfId="0" applyNumberFormat="1" applyFont="1" applyFill="1" applyBorder="1"/>
    <xf numFmtId="168" fontId="1" fillId="2" borderId="19" xfId="0" applyNumberFormat="1" applyFont="1" applyFill="1" applyBorder="1"/>
    <xf numFmtId="168" fontId="3" fillId="2" borderId="20" xfId="0" applyNumberFormat="1" applyFont="1" applyFill="1" applyBorder="1"/>
    <xf numFmtId="168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1" xfId="0" applyFont="1" applyBorder="1"/>
    <xf numFmtId="168" fontId="2" fillId="0" borderId="21" xfId="0" applyNumberFormat="1" applyFont="1" applyBorder="1"/>
    <xf numFmtId="0" fontId="3" fillId="0" borderId="22" xfId="0" applyFont="1" applyBorder="1"/>
    <xf numFmtId="168" fontId="3" fillId="0" borderId="23" xfId="0" applyNumberFormat="1" applyFont="1" applyBorder="1"/>
    <xf numFmtId="0" fontId="2" fillId="0" borderId="0" xfId="0" applyFont="1" applyAlignment="1">
      <alignment horizontal="right"/>
    </xf>
    <xf numFmtId="168" fontId="2" fillId="0" borderId="24" xfId="0" applyNumberFormat="1" applyFont="1" applyBorder="1"/>
    <xf numFmtId="168" fontId="0" fillId="0" borderId="0" xfId="0" applyNumberFormat="1"/>
    <xf numFmtId="167" fontId="3" fillId="2" borderId="1" xfId="0" applyNumberFormat="1" applyFont="1" applyFill="1" applyBorder="1"/>
    <xf numFmtId="168" fontId="1" fillId="2" borderId="7" xfId="0" applyNumberFormat="1" applyFont="1" applyFill="1" applyBorder="1"/>
    <xf numFmtId="168" fontId="1" fillId="2" borderId="6" xfId="0" applyNumberFormat="1" applyFont="1" applyFill="1" applyBorder="1"/>
    <xf numFmtId="168" fontId="1" fillId="2" borderId="17" xfId="0" applyNumberFormat="1" applyFont="1" applyFill="1" applyBorder="1"/>
    <xf numFmtId="168" fontId="1" fillId="2" borderId="18" xfId="0" applyNumberFormat="1" applyFont="1" applyFill="1" applyBorder="1"/>
    <xf numFmtId="168" fontId="1" fillId="2" borderId="10" xfId="0" applyNumberFormat="1" applyFont="1" applyFill="1" applyBorder="1"/>
    <xf numFmtId="168" fontId="1" fillId="2" borderId="14" xfId="0" applyNumberFormat="1" applyFont="1" applyFill="1" applyBorder="1"/>
    <xf numFmtId="168" fontId="1" fillId="2" borderId="15" xfId="0" applyNumberFormat="1" applyFont="1" applyFill="1" applyBorder="1"/>
    <xf numFmtId="168" fontId="2" fillId="0" borderId="0" xfId="0" applyNumberFormat="1" applyFont="1" applyAlignment="1">
      <alignment horizontal="center"/>
    </xf>
    <xf numFmtId="0" fontId="6" fillId="0" borderId="16" xfId="0" applyFont="1" applyBorder="1"/>
    <xf numFmtId="169" fontId="8" fillId="0" borderId="16" xfId="1" applyNumberFormat="1" applyFont="1" applyBorder="1"/>
    <xf numFmtId="170" fontId="1" fillId="2" borderId="16" xfId="0" applyNumberFormat="1" applyFont="1" applyFill="1" applyBorder="1"/>
    <xf numFmtId="170" fontId="2" fillId="0" borderId="16" xfId="1" applyNumberFormat="1" applyFont="1" applyBorder="1"/>
    <xf numFmtId="168" fontId="1" fillId="0" borderId="0" xfId="0" applyNumberFormat="1" applyFont="1"/>
    <xf numFmtId="0" fontId="3" fillId="0" borderId="25" xfId="0" applyFont="1" applyBorder="1"/>
    <xf numFmtId="0" fontId="2" fillId="0" borderId="5" xfId="0" applyFont="1" applyBorder="1"/>
    <xf numFmtId="171" fontId="2" fillId="0" borderId="26" xfId="0" applyNumberFormat="1" applyFont="1" applyBorder="1"/>
    <xf numFmtId="170" fontId="0" fillId="3" borderId="16" xfId="0" applyNumberFormat="1" applyFill="1" applyBorder="1"/>
    <xf numFmtId="168" fontId="0" fillId="3" borderId="14" xfId="0" applyNumberFormat="1" applyFill="1" applyBorder="1"/>
    <xf numFmtId="168" fontId="0" fillId="3" borderId="15" xfId="0" applyNumberFormat="1" applyFill="1" applyBorder="1"/>
    <xf numFmtId="0" fontId="2" fillId="2" borderId="13" xfId="0" applyFont="1" applyFill="1" applyBorder="1"/>
    <xf numFmtId="168" fontId="2" fillId="3" borderId="13" xfId="0" applyNumberFormat="1" applyFont="1" applyFill="1" applyBorder="1"/>
    <xf numFmtId="0" fontId="2" fillId="3" borderId="13" xfId="0" applyFont="1" applyFill="1" applyBorder="1"/>
    <xf numFmtId="0" fontId="3" fillId="0" borderId="9" xfId="0" applyFont="1" applyBorder="1"/>
    <xf numFmtId="172" fontId="9" fillId="0" borderId="0" xfId="0" applyNumberFormat="1" applyFont="1" applyAlignment="1">
      <alignment horizontal="right" vertical="center"/>
    </xf>
    <xf numFmtId="168" fontId="3" fillId="2" borderId="12" xfId="0" applyNumberFormat="1" applyFont="1" applyFill="1" applyBorder="1"/>
    <xf numFmtId="167" fontId="3" fillId="2" borderId="31" xfId="0" applyNumberFormat="1" applyFont="1" applyFill="1" applyBorder="1"/>
    <xf numFmtId="167" fontId="3" fillId="2" borderId="32" xfId="0" applyNumberFormat="1" applyFont="1" applyFill="1" applyBorder="1"/>
    <xf numFmtId="167" fontId="3" fillId="2" borderId="33" xfId="0" applyNumberFormat="1" applyFont="1" applyFill="1" applyBorder="1"/>
    <xf numFmtId="168" fontId="3" fillId="2" borderId="30" xfId="0" applyNumberFormat="1" applyFont="1" applyFill="1" applyBorder="1"/>
    <xf numFmtId="0" fontId="3" fillId="2" borderId="3" xfId="0" applyFont="1" applyFill="1" applyBorder="1"/>
    <xf numFmtId="44" fontId="1" fillId="2" borderId="16" xfId="0" applyNumberFormat="1" applyFont="1" applyFill="1" applyBorder="1"/>
    <xf numFmtId="44" fontId="1" fillId="2" borderId="8" xfId="0" applyNumberFormat="1" applyFont="1" applyFill="1" applyBorder="1" applyAlignment="1">
      <alignment horizontal="center" vertical="center"/>
    </xf>
    <xf numFmtId="44" fontId="1" fillId="2" borderId="16" xfId="0" applyNumberFormat="1" applyFont="1" applyFill="1" applyBorder="1" applyAlignment="1">
      <alignment horizontal="center" vertical="center"/>
    </xf>
    <xf numFmtId="44" fontId="3" fillId="2" borderId="28" xfId="0" applyNumberFormat="1" applyFont="1" applyFill="1" applyBorder="1"/>
    <xf numFmtId="44" fontId="3" fillId="2" borderId="29" xfId="0" applyNumberFormat="1" applyFont="1" applyFill="1" applyBorder="1"/>
    <xf numFmtId="44" fontId="3" fillId="2" borderId="30" xfId="0" applyNumberFormat="1" applyFont="1" applyFill="1" applyBorder="1"/>
    <xf numFmtId="168" fontId="3" fillId="2" borderId="28" xfId="0" applyNumberFormat="1" applyFont="1" applyFill="1" applyBorder="1"/>
    <xf numFmtId="44" fontId="9" fillId="2" borderId="16" xfId="0" applyNumberFormat="1" applyFont="1" applyFill="1" applyBorder="1" applyAlignment="1">
      <alignment horizontal="center" vertical="center"/>
    </xf>
    <xf numFmtId="169" fontId="8" fillId="0" borderId="9" xfId="1" applyNumberFormat="1" applyFont="1" applyBorder="1"/>
    <xf numFmtId="165" fontId="2" fillId="0" borderId="0" xfId="0" applyNumberFormat="1" applyFont="1"/>
    <xf numFmtId="3" fontId="6" fillId="0" borderId="16" xfId="0" applyNumberFormat="1" applyFont="1" applyBorder="1"/>
    <xf numFmtId="10" fontId="0" fillId="0" borderId="0" xfId="0" applyNumberFormat="1"/>
    <xf numFmtId="164" fontId="10" fillId="0" borderId="16" xfId="1" applyFont="1" applyBorder="1"/>
    <xf numFmtId="164" fontId="2" fillId="0" borderId="16" xfId="1" applyFont="1" applyBorder="1"/>
    <xf numFmtId="170" fontId="13" fillId="3" borderId="16" xfId="0" applyNumberFormat="1" applyFont="1" applyFill="1" applyBorder="1"/>
    <xf numFmtId="170" fontId="14" fillId="2" borderId="16" xfId="0" applyNumberFormat="1" applyFont="1" applyFill="1" applyBorder="1"/>
    <xf numFmtId="170" fontId="14" fillId="2" borderId="0" xfId="0" applyNumberFormat="1" applyFont="1" applyFill="1"/>
    <xf numFmtId="168" fontId="15" fillId="2" borderId="5" xfId="0" applyNumberFormat="1" applyFont="1" applyFill="1" applyBorder="1"/>
    <xf numFmtId="170" fontId="11" fillId="3" borderId="16" xfId="0" applyNumberFormat="1" applyFont="1" applyFill="1" applyBorder="1"/>
    <xf numFmtId="168" fontId="16" fillId="3" borderId="1" xfId="0" applyNumberFormat="1" applyFont="1" applyFill="1" applyBorder="1"/>
    <xf numFmtId="168" fontId="15" fillId="2" borderId="1" xfId="0" applyNumberFormat="1" applyFont="1" applyFill="1" applyBorder="1"/>
    <xf numFmtId="166" fontId="11" fillId="3" borderId="16" xfId="2" applyFont="1" applyFill="1" applyBorder="1"/>
    <xf numFmtId="166" fontId="12" fillId="0" borderId="0" xfId="2" applyFont="1" applyFill="1" applyBorder="1"/>
    <xf numFmtId="170" fontId="9" fillId="2" borderId="0" xfId="0" applyNumberFormat="1" applyFont="1" applyFill="1" applyAlignment="1">
      <alignment horizontal="right" vertical="center"/>
    </xf>
    <xf numFmtId="8" fontId="0" fillId="0" borderId="0" xfId="0" applyNumberFormat="1"/>
    <xf numFmtId="0" fontId="17" fillId="2" borderId="0" xfId="0" applyFont="1" applyFill="1"/>
    <xf numFmtId="4" fontId="18" fillId="2" borderId="5" xfId="1" applyNumberFormat="1" applyFont="1" applyFill="1" applyBorder="1" applyAlignment="1">
      <alignment horizontal="center" vertical="center" wrapText="1"/>
    </xf>
    <xf numFmtId="164" fontId="18" fillId="2" borderId="5" xfId="1" applyFont="1" applyFill="1" applyBorder="1" applyAlignment="1">
      <alignment horizontal="center" vertical="center" wrapText="1"/>
    </xf>
    <xf numFmtId="164" fontId="18" fillId="2" borderId="21" xfId="1" applyFont="1" applyFill="1" applyBorder="1" applyAlignment="1">
      <alignment horizontal="center" vertical="center" wrapText="1"/>
    </xf>
    <xf numFmtId="0" fontId="19" fillId="0" borderId="16" xfId="0" applyFont="1" applyBorder="1"/>
    <xf numFmtId="164" fontId="19" fillId="0" borderId="16" xfId="1" applyFont="1" applyBorder="1"/>
    <xf numFmtId="164" fontId="18" fillId="0" borderId="0" xfId="1" applyFont="1" applyFill="1" applyBorder="1" applyAlignment="1">
      <alignment horizontal="center" vertical="center" wrapText="1"/>
    </xf>
    <xf numFmtId="164" fontId="19" fillId="0" borderId="0" xfId="1" applyFont="1" applyFill="1" applyBorder="1"/>
    <xf numFmtId="169" fontId="7" fillId="0" borderId="16" xfId="0" applyNumberFormat="1" applyFont="1" applyBorder="1"/>
    <xf numFmtId="0" fontId="7" fillId="4" borderId="16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0" applyNumberFormat="1" applyFont="1"/>
    <xf numFmtId="0" fontId="7" fillId="0" borderId="0" xfId="0" applyFont="1"/>
    <xf numFmtId="0" fontId="6" fillId="0" borderId="34" xfId="0" applyFont="1" applyBorder="1"/>
    <xf numFmtId="0" fontId="6" fillId="0" borderId="35" xfId="0" applyFont="1" applyBorder="1"/>
    <xf numFmtId="173" fontId="6" fillId="0" borderId="35" xfId="0" applyNumberFormat="1" applyFont="1" applyBorder="1"/>
    <xf numFmtId="0" fontId="6" fillId="0" borderId="36" xfId="0" applyFont="1" applyBorder="1"/>
    <xf numFmtId="0" fontId="6" fillId="0" borderId="15" xfId="0" applyFont="1" applyBorder="1"/>
    <xf numFmtId="0" fontId="6" fillId="0" borderId="37" xfId="0" applyFont="1" applyBorder="1"/>
    <xf numFmtId="174" fontId="6" fillId="0" borderId="0" xfId="0" applyNumberFormat="1" applyFont="1"/>
    <xf numFmtId="4" fontId="20" fillId="0" borderId="0" xfId="1" applyNumberFormat="1" applyFont="1" applyFill="1" applyBorder="1" applyAlignment="1">
      <alignment horizontal="center" vertical="center" wrapText="1"/>
    </xf>
    <xf numFmtId="164" fontId="20" fillId="0" borderId="0" xfId="1" applyFont="1" applyFill="1" applyBorder="1" applyAlignment="1">
      <alignment horizontal="center" vertical="center" wrapText="1"/>
    </xf>
    <xf numFmtId="164" fontId="6" fillId="0" borderId="0" xfId="1" applyFont="1" applyFill="1" applyBorder="1"/>
    <xf numFmtId="169" fontId="7" fillId="0" borderId="0" xfId="1" applyNumberFormat="1" applyFont="1"/>
    <xf numFmtId="169" fontId="6" fillId="5" borderId="38" xfId="1" applyNumberFormat="1" applyFont="1" applyFill="1" applyBorder="1"/>
    <xf numFmtId="169" fontId="7" fillId="5" borderId="8" xfId="1" applyNumberFormat="1" applyFont="1" applyFill="1" applyBorder="1"/>
    <xf numFmtId="0" fontId="0" fillId="0" borderId="6" xfId="0" applyBorder="1"/>
    <xf numFmtId="0" fontId="0" fillId="0" borderId="39" xfId="0" applyBorder="1"/>
    <xf numFmtId="174" fontId="0" fillId="0" borderId="39" xfId="0" applyNumberFormat="1" applyBorder="1"/>
    <xf numFmtId="0" fontId="0" fillId="0" borderId="18" xfId="0" applyBorder="1"/>
    <xf numFmtId="0" fontId="21" fillId="0" borderId="0" xfId="0" applyFont="1"/>
    <xf numFmtId="169" fontId="0" fillId="0" borderId="0" xfId="1" applyNumberFormat="1" applyFont="1"/>
    <xf numFmtId="169" fontId="23" fillId="0" borderId="0" xfId="1" applyNumberFormat="1" applyFont="1"/>
    <xf numFmtId="0" fontId="23" fillId="0" borderId="0" xfId="0" applyFont="1"/>
    <xf numFmtId="0" fontId="22" fillId="0" borderId="4" xfId="0" applyFont="1" applyBorder="1"/>
    <xf numFmtId="0" fontId="22" fillId="0" borderId="9" xfId="0" applyFont="1" applyBorder="1"/>
    <xf numFmtId="0" fontId="22" fillId="0" borderId="0" xfId="0" applyFont="1"/>
    <xf numFmtId="0" fontId="22" fillId="0" borderId="21" xfId="0" applyFont="1" applyBorder="1"/>
    <xf numFmtId="169" fontId="22" fillId="0" borderId="21" xfId="1" applyNumberFormat="1" applyFont="1" applyBorder="1"/>
    <xf numFmtId="169" fontId="22" fillId="0" borderId="0" xfId="1" applyNumberFormat="1" applyFont="1" applyAlignment="1">
      <alignment horizontal="center"/>
    </xf>
    <xf numFmtId="0" fontId="24" fillId="0" borderId="22" xfId="0" applyFont="1" applyBorder="1"/>
    <xf numFmtId="169" fontId="24" fillId="0" borderId="23" xfId="1" applyNumberFormat="1" applyFont="1" applyBorder="1"/>
    <xf numFmtId="0" fontId="22" fillId="0" borderId="0" xfId="0" applyFont="1" applyAlignment="1">
      <alignment horizontal="right"/>
    </xf>
    <xf numFmtId="169" fontId="22" fillId="0" borderId="24" xfId="1" applyNumberFormat="1" applyFont="1" applyBorder="1"/>
    <xf numFmtId="0" fontId="24" fillId="0" borderId="22" xfId="0" applyFont="1" applyBorder="1" applyAlignment="1">
      <alignment wrapText="1"/>
    </xf>
    <xf numFmtId="167" fontId="4" fillId="2" borderId="1" xfId="0" applyNumberFormat="1" applyFont="1" applyFill="1" applyBorder="1"/>
    <xf numFmtId="169" fontId="25" fillId="2" borderId="7" xfId="1" applyNumberFormat="1" applyFont="1" applyFill="1" applyBorder="1"/>
    <xf numFmtId="169" fontId="26" fillId="2" borderId="1" xfId="1" applyNumberFormat="1" applyFont="1" applyFill="1" applyBorder="1"/>
    <xf numFmtId="169" fontId="22" fillId="6" borderId="13" xfId="1" applyNumberFormat="1" applyFont="1" applyFill="1" applyBorder="1" applyAlignment="1">
      <alignment horizontal="centerContinuous"/>
    </xf>
    <xf numFmtId="167" fontId="4" fillId="2" borderId="5" xfId="0" applyNumberFormat="1" applyFont="1" applyFill="1" applyBorder="1"/>
    <xf numFmtId="169" fontId="25" fillId="2" borderId="40" xfId="1" applyNumberFormat="1" applyFont="1" applyFill="1" applyBorder="1"/>
    <xf numFmtId="169" fontId="25" fillId="2" borderId="41" xfId="1" applyNumberFormat="1" applyFont="1" applyFill="1" applyBorder="1"/>
    <xf numFmtId="167" fontId="4" fillId="2" borderId="11" xfId="0" applyNumberFormat="1" applyFont="1" applyFill="1" applyBorder="1"/>
    <xf numFmtId="169" fontId="25" fillId="2" borderId="39" xfId="1" applyNumberFormat="1" applyFont="1" applyFill="1" applyBorder="1"/>
    <xf numFmtId="169" fontId="25" fillId="2" borderId="0" xfId="1" applyNumberFormat="1" applyFont="1" applyFill="1" applyBorder="1"/>
    <xf numFmtId="173" fontId="1" fillId="2" borderId="42" xfId="0" applyNumberFormat="1" applyFont="1" applyFill="1" applyBorder="1"/>
    <xf numFmtId="168" fontId="27" fillId="2" borderId="7" xfId="0" applyNumberFormat="1" applyFont="1" applyFill="1" applyBorder="1"/>
    <xf numFmtId="168" fontId="27" fillId="2" borderId="14" xfId="0" applyNumberFormat="1" applyFont="1" applyFill="1" applyBorder="1"/>
    <xf numFmtId="168" fontId="4" fillId="2" borderId="1" xfId="0" applyNumberFormat="1" applyFont="1" applyFill="1" applyBorder="1"/>
    <xf numFmtId="168" fontId="27" fillId="2" borderId="6" xfId="0" applyNumberFormat="1" applyFont="1" applyFill="1" applyBorder="1"/>
    <xf numFmtId="168" fontId="27" fillId="2" borderId="16" xfId="0" applyNumberFormat="1" applyFont="1" applyFill="1" applyBorder="1"/>
    <xf numFmtId="168" fontId="27" fillId="2" borderId="15" xfId="0" applyNumberFormat="1" applyFont="1" applyFill="1" applyBorder="1"/>
    <xf numFmtId="168" fontId="27" fillId="2" borderId="17" xfId="0" applyNumberFormat="1" applyFont="1" applyFill="1" applyBorder="1"/>
    <xf numFmtId="168" fontId="27" fillId="2" borderId="8" xfId="0" applyNumberFormat="1" applyFont="1" applyFill="1" applyBorder="1"/>
    <xf numFmtId="168" fontId="27" fillId="2" borderId="18" xfId="0" applyNumberFormat="1" applyFont="1" applyFill="1" applyBorder="1"/>
    <xf numFmtId="168" fontId="27" fillId="2" borderId="19" xfId="0" applyNumberFormat="1" applyFont="1" applyFill="1" applyBorder="1"/>
    <xf numFmtId="168" fontId="4" fillId="2" borderId="5" xfId="0" applyNumberFormat="1" applyFont="1" applyFill="1" applyBorder="1"/>
    <xf numFmtId="167" fontId="0" fillId="0" borderId="0" xfId="0" applyNumberFormat="1"/>
    <xf numFmtId="4" fontId="0" fillId="0" borderId="0" xfId="0" applyNumberFormat="1"/>
    <xf numFmtId="171" fontId="0" fillId="0" borderId="0" xfId="0" applyNumberFormat="1"/>
    <xf numFmtId="0" fontId="2" fillId="0" borderId="34" xfId="0" applyFont="1" applyBorder="1"/>
    <xf numFmtId="168" fontId="4" fillId="2" borderId="41" xfId="0" applyNumberFormat="1" applyFont="1" applyFill="1" applyBorder="1"/>
    <xf numFmtId="0" fontId="2" fillId="0" borderId="43" xfId="0" applyFont="1" applyBorder="1"/>
    <xf numFmtId="168" fontId="4" fillId="2" borderId="28" xfId="0" applyNumberFormat="1" applyFont="1" applyFill="1" applyBorder="1"/>
    <xf numFmtId="0" fontId="2" fillId="0" borderId="16" xfId="0" applyFont="1" applyBorder="1"/>
    <xf numFmtId="168" fontId="4" fillId="2" borderId="16" xfId="0" applyNumberFormat="1" applyFont="1" applyFill="1" applyBorder="1"/>
    <xf numFmtId="0" fontId="0" fillId="0" borderId="16" xfId="0" applyBorder="1"/>
    <xf numFmtId="168" fontId="27" fillId="2" borderId="0" xfId="0" applyNumberFormat="1" applyFont="1" applyFill="1"/>
    <xf numFmtId="168" fontId="27" fillId="2" borderId="9" xfId="0" applyNumberFormat="1" applyFont="1" applyFill="1" applyBorder="1"/>
    <xf numFmtId="0" fontId="0" fillId="0" borderId="44" xfId="0" applyBorder="1"/>
    <xf numFmtId="169" fontId="26" fillId="2" borderId="20" xfId="1" applyNumberFormat="1" applyFont="1" applyFill="1" applyBorder="1"/>
    <xf numFmtId="169" fontId="25" fillId="2" borderId="16" xfId="1" applyNumberFormat="1" applyFont="1" applyFill="1" applyBorder="1"/>
    <xf numFmtId="0" fontId="22" fillId="0" borderId="43" xfId="0" applyFont="1" applyBorder="1"/>
    <xf numFmtId="0" fontId="22" fillId="0" borderId="45" xfId="0" applyFont="1" applyBorder="1"/>
    <xf numFmtId="169" fontId="25" fillId="2" borderId="42" xfId="1" applyNumberFormat="1" applyFont="1" applyFill="1" applyBorder="1"/>
    <xf numFmtId="169" fontId="25" fillId="2" borderId="46" xfId="1" applyNumberFormat="1" applyFont="1" applyFill="1" applyBorder="1"/>
    <xf numFmtId="0" fontId="22" fillId="0" borderId="47" xfId="0" applyFont="1" applyBorder="1"/>
    <xf numFmtId="0" fontId="22" fillId="0" borderId="48" xfId="0" applyFont="1" applyBorder="1"/>
    <xf numFmtId="0" fontId="22" fillId="0" borderId="49" xfId="0" applyFont="1" applyBorder="1"/>
    <xf numFmtId="169" fontId="25" fillId="2" borderId="50" xfId="1" applyNumberFormat="1" applyFont="1" applyFill="1" applyBorder="1"/>
    <xf numFmtId="169" fontId="0" fillId="0" borderId="0" xfId="0" applyNumberFormat="1"/>
    <xf numFmtId="0" fontId="3" fillId="0" borderId="22" xfId="0" applyFont="1" applyBorder="1" applyAlignment="1">
      <alignment wrapText="1"/>
    </xf>
    <xf numFmtId="168" fontId="3" fillId="0" borderId="23" xfId="0" applyNumberFormat="1" applyFont="1" applyBorder="1" applyAlignment="1">
      <alignment vertical="center"/>
    </xf>
    <xf numFmtId="0" fontId="29" fillId="0" borderId="0" xfId="0" applyFont="1"/>
    <xf numFmtId="173" fontId="27" fillId="2" borderId="42" xfId="0" applyNumberFormat="1" applyFont="1" applyFill="1" applyBorder="1"/>
    <xf numFmtId="169" fontId="26" fillId="2" borderId="5" xfId="1" applyNumberFormat="1" applyFont="1" applyFill="1" applyBorder="1"/>
    <xf numFmtId="169" fontId="22" fillId="6" borderId="13" xfId="1" applyNumberFormat="1" applyFont="1" applyFill="1" applyBorder="1" applyAlignment="1"/>
    <xf numFmtId="167" fontId="3" fillId="2" borderId="51" xfId="0" applyNumberFormat="1" applyFont="1" applyFill="1" applyBorder="1"/>
    <xf numFmtId="167" fontId="3" fillId="7" borderId="0" xfId="0" applyNumberFormat="1" applyFont="1" applyFill="1"/>
    <xf numFmtId="167" fontId="3" fillId="2" borderId="16" xfId="0" applyNumberFormat="1" applyFont="1" applyFill="1" applyBorder="1"/>
    <xf numFmtId="170" fontId="27" fillId="2" borderId="42" xfId="0" applyNumberFormat="1" applyFont="1" applyFill="1" applyBorder="1"/>
    <xf numFmtId="170" fontId="27" fillId="2" borderId="16" xfId="0" applyNumberFormat="1" applyFont="1" applyFill="1" applyBorder="1"/>
    <xf numFmtId="170" fontId="27" fillId="2" borderId="15" xfId="0" applyNumberFormat="1" applyFont="1" applyFill="1" applyBorder="1"/>
    <xf numFmtId="173" fontId="27" fillId="2" borderId="45" xfId="0" applyNumberFormat="1" applyFont="1" applyFill="1" applyBorder="1"/>
    <xf numFmtId="2" fontId="0" fillId="0" borderId="0" xfId="0" applyNumberFormat="1"/>
    <xf numFmtId="175" fontId="30" fillId="2" borderId="40" xfId="1" applyNumberFormat="1" applyFont="1" applyFill="1" applyBorder="1"/>
    <xf numFmtId="175" fontId="30" fillId="2" borderId="39" xfId="1" applyNumberFormat="1" applyFont="1" applyFill="1" applyBorder="1"/>
    <xf numFmtId="167" fontId="3" fillId="2" borderId="28" xfId="0" applyNumberFormat="1" applyFont="1" applyFill="1" applyBorder="1"/>
    <xf numFmtId="170" fontId="27" fillId="2" borderId="40" xfId="0" applyNumberFormat="1" applyFont="1" applyFill="1" applyBorder="1"/>
    <xf numFmtId="167" fontId="4" fillId="2" borderId="16" xfId="0" applyNumberFormat="1" applyFont="1" applyFill="1" applyBorder="1"/>
    <xf numFmtId="164" fontId="0" fillId="0" borderId="0" xfId="1" applyFont="1"/>
    <xf numFmtId="167" fontId="3" fillId="2" borderId="4" xfId="0" applyNumberFormat="1" applyFont="1" applyFill="1" applyBorder="1"/>
    <xf numFmtId="0" fontId="3" fillId="2" borderId="12" xfId="0" applyFont="1" applyFill="1" applyBorder="1"/>
    <xf numFmtId="167" fontId="3" fillId="2" borderId="5" xfId="0" applyNumberFormat="1" applyFont="1" applyFill="1" applyBorder="1"/>
    <xf numFmtId="173" fontId="1" fillId="2" borderId="45" xfId="0" applyNumberFormat="1" applyFont="1" applyFill="1" applyBorder="1"/>
    <xf numFmtId="168" fontId="3" fillId="2" borderId="4" xfId="0" applyNumberFormat="1" applyFont="1" applyFill="1" applyBorder="1"/>
    <xf numFmtId="168" fontId="27" fillId="2" borderId="42" xfId="0" applyNumberFormat="1" applyFont="1" applyFill="1" applyBorder="1"/>
    <xf numFmtId="168" fontId="27" fillId="2" borderId="45" xfId="0" applyNumberFormat="1" applyFont="1" applyFill="1" applyBorder="1"/>
    <xf numFmtId="9" fontId="0" fillId="0" borderId="0" xfId="3" applyFont="1"/>
    <xf numFmtId="0" fontId="3" fillId="0" borderId="0" xfId="0" applyFont="1"/>
    <xf numFmtId="168" fontId="3" fillId="0" borderId="52" xfId="0" applyNumberFormat="1" applyFont="1" applyBorder="1"/>
    <xf numFmtId="167" fontId="4" fillId="2" borderId="4" xfId="0" applyNumberFormat="1" applyFont="1" applyFill="1" applyBorder="1"/>
    <xf numFmtId="9" fontId="0" fillId="0" borderId="0" xfId="0" applyNumberFormat="1"/>
    <xf numFmtId="9" fontId="2" fillId="0" borderId="0" xfId="3" applyFont="1" applyAlignment="1">
      <alignment horizontal="center"/>
    </xf>
    <xf numFmtId="0" fontId="0" fillId="7" borderId="6" xfId="0" applyFill="1" applyBorder="1"/>
    <xf numFmtId="0" fontId="0" fillId="7" borderId="39" xfId="0" applyFill="1" applyBorder="1"/>
    <xf numFmtId="0" fontId="0" fillId="7" borderId="18" xfId="0" applyFill="1" applyBorder="1"/>
    <xf numFmtId="176" fontId="0" fillId="7" borderId="15" xfId="0" applyNumberFormat="1" applyFill="1" applyBorder="1"/>
    <xf numFmtId="168" fontId="0" fillId="7" borderId="15" xfId="0" applyNumberFormat="1" applyFill="1" applyBorder="1"/>
    <xf numFmtId="9" fontId="0" fillId="7" borderId="53" xfId="3" applyFont="1" applyFill="1" applyBorder="1"/>
    <xf numFmtId="9" fontId="31" fillId="7" borderId="0" xfId="0" applyNumberFormat="1" applyFont="1" applyFill="1"/>
    <xf numFmtId="168" fontId="2" fillId="2" borderId="4" xfId="0" applyNumberFormat="1" applyFont="1" applyFill="1" applyBorder="1"/>
    <xf numFmtId="167" fontId="2" fillId="2" borderId="1" xfId="0" applyNumberFormat="1" applyFont="1" applyFill="1" applyBorder="1"/>
    <xf numFmtId="10" fontId="2" fillId="0" borderId="0" xfId="3" applyNumberFormat="1" applyFont="1" applyAlignment="1">
      <alignment horizontal="center"/>
    </xf>
    <xf numFmtId="0" fontId="32" fillId="0" borderId="0" xfId="0" applyFont="1"/>
    <xf numFmtId="177" fontId="0" fillId="0" borderId="0" xfId="0" applyNumberFormat="1"/>
    <xf numFmtId="168" fontId="4" fillId="2" borderId="4" xfId="0" applyNumberFormat="1" applyFont="1" applyFill="1" applyBorder="1"/>
    <xf numFmtId="177" fontId="2" fillId="0" borderId="0" xfId="0" applyNumberFormat="1" applyFont="1" applyAlignment="1">
      <alignment horizontal="center"/>
    </xf>
    <xf numFmtId="0" fontId="27" fillId="0" borderId="0" xfId="0" applyFont="1"/>
    <xf numFmtId="0" fontId="4" fillId="2" borderId="5" xfId="0" applyFont="1" applyFill="1" applyBorder="1"/>
    <xf numFmtId="168" fontId="4" fillId="2" borderId="30" xfId="0" applyNumberFormat="1" applyFont="1" applyFill="1" applyBorder="1"/>
    <xf numFmtId="0" fontId="4" fillId="2" borderId="13" xfId="0" applyFont="1" applyFill="1" applyBorder="1" applyAlignment="1">
      <alignment horizontal="centerContinuous"/>
    </xf>
    <xf numFmtId="0" fontId="4" fillId="2" borderId="13" xfId="0" applyFont="1" applyFill="1" applyBorder="1"/>
    <xf numFmtId="168" fontId="27" fillId="0" borderId="0" xfId="0" applyNumberFormat="1" applyFont="1"/>
    <xf numFmtId="0" fontId="4" fillId="0" borderId="0" xfId="0" applyFont="1" applyAlignment="1">
      <alignment horizontal="center"/>
    </xf>
    <xf numFmtId="168" fontId="4" fillId="0" borderId="23" xfId="0" applyNumberFormat="1" applyFont="1" applyBorder="1"/>
    <xf numFmtId="168" fontId="4" fillId="0" borderId="24" xfId="0" applyNumberFormat="1" applyFont="1" applyBorder="1"/>
    <xf numFmtId="168" fontId="4" fillId="0" borderId="52" xfId="0" applyNumberFormat="1" applyFont="1" applyBorder="1"/>
    <xf numFmtId="168" fontId="4" fillId="0" borderId="55" xfId="0" applyNumberFormat="1" applyFont="1" applyBorder="1"/>
    <xf numFmtId="168" fontId="4" fillId="0" borderId="5" xfId="0" applyNumberFormat="1" applyFont="1" applyBorder="1"/>
    <xf numFmtId="168" fontId="4" fillId="0" borderId="55" xfId="0" applyNumberFormat="1" applyFont="1" applyBorder="1" applyAlignment="1">
      <alignment vertical="center"/>
    </xf>
    <xf numFmtId="0" fontId="4" fillId="0" borderId="0" xfId="0" applyFont="1"/>
    <xf numFmtId="10" fontId="4" fillId="7" borderId="0" xfId="0" applyNumberFormat="1" applyFont="1" applyFill="1"/>
    <xf numFmtId="44" fontId="27" fillId="0" borderId="0" xfId="0" applyNumberFormat="1" applyFont="1"/>
    <xf numFmtId="0" fontId="2" fillId="0" borderId="16" xfId="0" applyFont="1" applyBorder="1" applyAlignment="1">
      <alignment horizontal="center" vertical="center" wrapText="1"/>
    </xf>
    <xf numFmtId="17" fontId="0" fillId="0" borderId="16" xfId="0" applyNumberFormat="1" applyBorder="1" applyAlignment="1">
      <alignment vertical="center" wrapText="1"/>
    </xf>
    <xf numFmtId="8" fontId="0" fillId="0" borderId="16" xfId="0" applyNumberFormat="1" applyBorder="1" applyAlignment="1">
      <alignment vertical="center" wrapText="1"/>
    </xf>
    <xf numFmtId="10" fontId="0" fillId="0" borderId="16" xfId="0" applyNumberForma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8" fontId="2" fillId="0" borderId="16" xfId="0" applyNumberFormat="1" applyFont="1" applyBorder="1" applyAlignment="1">
      <alignment vertical="center" wrapText="1"/>
    </xf>
    <xf numFmtId="10" fontId="2" fillId="0" borderId="16" xfId="0" applyNumberFormat="1" applyFont="1" applyBorder="1" applyAlignment="1">
      <alignment vertical="center" wrapText="1"/>
    </xf>
    <xf numFmtId="8" fontId="27" fillId="0" borderId="16" xfId="0" applyNumberFormat="1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8" fontId="34" fillId="0" borderId="16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8" fontId="33" fillId="0" borderId="16" xfId="0" applyNumberFormat="1" applyFont="1" applyBorder="1" applyAlignment="1">
      <alignment vertical="center" wrapText="1"/>
    </xf>
    <xf numFmtId="8" fontId="27" fillId="0" borderId="0" xfId="0" applyNumberFormat="1" applyFont="1"/>
    <xf numFmtId="8" fontId="3" fillId="0" borderId="0" xfId="0" applyNumberFormat="1" applyFont="1"/>
    <xf numFmtId="168" fontId="3" fillId="0" borderId="5" xfId="0" applyNumberFormat="1" applyFont="1" applyBorder="1"/>
    <xf numFmtId="171" fontId="4" fillId="0" borderId="0" xfId="0" applyNumberFormat="1" applyFont="1"/>
    <xf numFmtId="2" fontId="27" fillId="0" borderId="0" xfId="0" applyNumberFormat="1" applyFont="1"/>
    <xf numFmtId="44" fontId="3" fillId="0" borderId="0" xfId="0" applyNumberFormat="1" applyFont="1"/>
    <xf numFmtId="9" fontId="4" fillId="0" borderId="0" xfId="3" applyFont="1" applyAlignment="1">
      <alignment horizontal="center"/>
    </xf>
    <xf numFmtId="168" fontId="4" fillId="2" borderId="12" xfId="0" applyNumberFormat="1" applyFont="1" applyFill="1" applyBorder="1"/>
    <xf numFmtId="171" fontId="27" fillId="0" borderId="0" xfId="0" applyNumberFormat="1" applyFont="1"/>
    <xf numFmtId="171" fontId="4" fillId="2" borderId="0" xfId="0" applyNumberFormat="1" applyFont="1" applyFill="1" applyAlignment="1">
      <alignment horizontal="center"/>
    </xf>
    <xf numFmtId="168" fontId="3" fillId="0" borderId="20" xfId="0" applyNumberFormat="1" applyFont="1" applyBorder="1"/>
    <xf numFmtId="10" fontId="4" fillId="0" borderId="57" xfId="3" applyNumberFormat="1" applyFont="1" applyBorder="1" applyAlignment="1">
      <alignment horizontal="center"/>
    </xf>
    <xf numFmtId="10" fontId="4" fillId="0" borderId="0" xfId="3" applyNumberFormat="1" applyFont="1" applyAlignment="1">
      <alignment horizontal="center"/>
    </xf>
    <xf numFmtId="172" fontId="0" fillId="2" borderId="42" xfId="0" applyNumberFormat="1" applyFill="1" applyBorder="1"/>
    <xf numFmtId="172" fontId="27" fillId="2" borderId="42" xfId="0" applyNumberFormat="1" applyFont="1" applyFill="1" applyBorder="1"/>
    <xf numFmtId="172" fontId="1" fillId="2" borderId="42" xfId="0" applyNumberFormat="1" applyFont="1" applyFill="1" applyBorder="1"/>
    <xf numFmtId="172" fontId="3" fillId="2" borderId="30" xfId="0" applyNumberFormat="1" applyFont="1" applyFill="1" applyBorder="1"/>
    <xf numFmtId="172" fontId="3" fillId="2" borderId="12" xfId="0" applyNumberFormat="1" applyFont="1" applyFill="1" applyBorder="1"/>
    <xf numFmtId="172" fontId="3" fillId="2" borderId="20" xfId="0" applyNumberFormat="1" applyFont="1" applyFill="1" applyBorder="1"/>
    <xf numFmtId="172" fontId="2" fillId="2" borderId="1" xfId="0" applyNumberFormat="1" applyFont="1" applyFill="1" applyBorder="1"/>
    <xf numFmtId="172" fontId="4" fillId="2" borderId="1" xfId="0" applyNumberFormat="1" applyFont="1" applyFill="1" applyBorder="1"/>
    <xf numFmtId="172" fontId="3" fillId="2" borderId="1" xfId="0" applyNumberFormat="1" applyFont="1" applyFill="1" applyBorder="1"/>
    <xf numFmtId="172" fontId="3" fillId="2" borderId="5" xfId="0" applyNumberFormat="1" applyFont="1" applyFill="1" applyBorder="1"/>
    <xf numFmtId="178" fontId="4" fillId="2" borderId="0" xfId="0" applyNumberFormat="1" applyFont="1" applyFill="1"/>
    <xf numFmtId="0" fontId="1" fillId="0" borderId="0" xfId="0" applyFont="1"/>
    <xf numFmtId="3" fontId="36" fillId="0" borderId="0" xfId="4" applyNumberFormat="1" applyFont="1" applyAlignment="1">
      <alignment horizontal="right" vertical="center"/>
    </xf>
    <xf numFmtId="179" fontId="36" fillId="0" borderId="0" xfId="4" applyNumberFormat="1" applyFont="1" applyAlignment="1">
      <alignment horizontal="right" vertical="center"/>
    </xf>
    <xf numFmtId="4" fontId="36" fillId="0" borderId="0" xfId="4" applyNumberFormat="1" applyFont="1" applyAlignment="1">
      <alignment horizontal="right" vertical="center"/>
    </xf>
    <xf numFmtId="0" fontId="7" fillId="0" borderId="37" xfId="0" applyFont="1" applyBorder="1"/>
    <xf numFmtId="0" fontId="7" fillId="0" borderId="0" xfId="0" applyFont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8" fontId="2" fillId="2" borderId="13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56" xfId="0" applyFont="1" applyBorder="1" applyAlignment="1">
      <alignment horizontal="center"/>
    </xf>
    <xf numFmtId="0" fontId="0" fillId="7" borderId="37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5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Import_FBM" xfId="4" xr:uid="{9DF9C4A3-274B-47DF-B4DD-EF1E6A07E93B}"/>
    <cellStyle name="Normal" xfId="0" builtinId="0"/>
    <cellStyle name="Percent" xfId="3" builtinId="5"/>
  </cellStyles>
  <dxfs count="106">
    <dxf>
      <font>
        <color rgb="FF006100"/>
      </font>
      <fill>
        <patternFill>
          <bgColor rgb="FFC6EFCE"/>
        </patternFill>
      </fill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4" formatCode="#,##0.00"/>
    </dxf>
    <dxf>
      <numFmt numFmtId="168" formatCode="[$R-434]\ #,##0.00"/>
    </dxf>
    <dxf>
      <numFmt numFmtId="168" formatCode="[$R-434]\ #,##0.00"/>
    </dxf>
    <dxf>
      <numFmt numFmtId="168" formatCode="[$R-434]\ #,##0.00"/>
    </dxf>
    <dxf>
      <numFmt numFmtId="167" formatCode="[$-409]mmmm\-yy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BfnProj!$B$1</c:f>
              <c:strCache>
                <c:ptCount val="1"/>
                <c:pt idx="0">
                  <c:v>Megaflex - Bloemfontein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BfnProj!$B$2:$B$24</c:f>
              <c:numCache>
                <c:formatCode>[$R-434]\ #\ ##0.00</c:formatCode>
                <c:ptCount val="23"/>
                <c:pt idx="0">
                  <c:v>208343291.19999999</c:v>
                </c:pt>
                <c:pt idx="1">
                  <c:v>120023709.54000001</c:v>
                </c:pt>
                <c:pt idx="2">
                  <c:v>120111620.78</c:v>
                </c:pt>
                <c:pt idx="3">
                  <c:v>118568754.98999999</c:v>
                </c:pt>
                <c:pt idx="4">
                  <c:v>109712490.7</c:v>
                </c:pt>
                <c:pt idx="5">
                  <c:v>119865906.34</c:v>
                </c:pt>
                <c:pt idx="6">
                  <c:v>112238319.48</c:v>
                </c:pt>
                <c:pt idx="7">
                  <c:v>122813349.93000001</c:v>
                </c:pt>
                <c:pt idx="8">
                  <c:v>117572062.88</c:v>
                </c:pt>
                <c:pt idx="9">
                  <c:v>274666188.64999998</c:v>
                </c:pt>
                <c:pt idx="10">
                  <c:v>260567700.24000001</c:v>
                </c:pt>
                <c:pt idx="11">
                  <c:v>277013750.64999998</c:v>
                </c:pt>
                <c:pt idx="12">
                  <c:v>263433752.09</c:v>
                </c:pt>
                <c:pt idx="13">
                  <c:v>169733900.40000001</c:v>
                </c:pt>
                <c:pt idx="14">
                  <c:v>145463723.53999999</c:v>
                </c:pt>
                <c:pt idx="15">
                  <c:v>145818937.69</c:v>
                </c:pt>
                <c:pt idx="16">
                  <c:v>134855203.44</c:v>
                </c:pt>
                <c:pt idx="17">
                  <c:v>136886068.88</c:v>
                </c:pt>
                <c:pt idx="18">
                  <c:v>148929316.33000001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F6B-8DCF-55545190438A}"/>
            </c:ext>
          </c:extLst>
        </c:ser>
        <c:ser>
          <c:idx val="1"/>
          <c:order val="1"/>
          <c:tx>
            <c:strRef>
              <c:f>BfnProj!$C$1</c:f>
              <c:strCache>
                <c:ptCount val="1"/>
                <c:pt idx="0">
                  <c:v>Forecast(Megaflex - Bloemfontein)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BfnProj!$A$2:$A$24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BfnProj!$C$2:$C$24</c:f>
              <c:numCache>
                <c:formatCode>General</c:formatCode>
                <c:ptCount val="23"/>
                <c:pt idx="18" formatCode="[$R-434]\ #\ ##0.00">
                  <c:v>148929316.33000001</c:v>
                </c:pt>
                <c:pt idx="19" formatCode="[$R-434]\ #\ ##0.00">
                  <c:v>138537471.65759689</c:v>
                </c:pt>
                <c:pt idx="20" formatCode="[$R-434]#\ ##0.00">
                  <c:v>144284435.56633598</c:v>
                </c:pt>
                <c:pt idx="21" formatCode="[$R-434]#\ ##0.00">
                  <c:v>144804014.65628001</c:v>
                </c:pt>
                <c:pt idx="22" formatCode="[$R-434]#\ ##0.00">
                  <c:v>293711911.71052802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3-4F6B-8DCF-55545190438A}"/>
            </c:ext>
          </c:extLst>
        </c:ser>
        <c:ser>
          <c:idx val="2"/>
          <c:order val="2"/>
          <c:tx>
            <c:strRef>
              <c:f>BfnProj!$D$1</c:f>
              <c:strCache>
                <c:ptCount val="1"/>
                <c:pt idx="0">
                  <c:v>Lower Confidence Bound(Megaflex - Bloemfontein)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BfnProj!$A$2:$A$24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BfnProj!$D$2:$D$24</c:f>
              <c:numCache>
                <c:formatCode>General</c:formatCode>
                <c:ptCount val="23"/>
                <c:pt idx="17" formatCode="[$R-434]\ #\ ##0.00">
                  <c:v>136886068.88</c:v>
                </c:pt>
                <c:pt idx="18" formatCode="[$R-434]\ #\ ##0.00">
                  <c:v>21645899.736064926</c:v>
                </c:pt>
                <c:pt idx="19" formatCode="[$R-434]\ #\ ##0.00">
                  <c:v>7053145.8522510827</c:v>
                </c:pt>
                <c:pt idx="20" formatCode="[$R-434]\ #\ ##0.00">
                  <c:v>8934080.772226572</c:v>
                </c:pt>
                <c:pt idx="21" formatCode="[$R-434]\ #\ ##0.00">
                  <c:v>5560524.5282336473</c:v>
                </c:pt>
                <c:pt idx="22" formatCode="[$R-434]\ #\ ##0.00">
                  <c:v>150749769.89282835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3-4F6B-8DCF-55545190438A}"/>
            </c:ext>
          </c:extLst>
        </c:ser>
        <c:ser>
          <c:idx val="3"/>
          <c:order val="3"/>
          <c:tx>
            <c:strRef>
              <c:f>BfnProj!$E$1</c:f>
              <c:strCache>
                <c:ptCount val="1"/>
                <c:pt idx="0">
                  <c:v>Upper Confidence Bound(Megaflex - Bloemfontein)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BfnProj!$A$2:$A$24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BfnProj!$E$2:$E$24</c:f>
              <c:numCache>
                <c:formatCode>General</c:formatCode>
                <c:ptCount val="23"/>
                <c:pt idx="17" formatCode="[$R-434]\ #\ ##0.00">
                  <c:v>136886068.88</c:v>
                </c:pt>
                <c:pt idx="18" formatCode="[$R-434]\ #\ ##0.00">
                  <c:v>276212732.92393512</c:v>
                </c:pt>
                <c:pt idx="19" formatCode="[$R-434]\ #\ ##0.00">
                  <c:v>270021797.46294272</c:v>
                </c:pt>
                <c:pt idx="20" formatCode="[$R-434]\ #\ ##0.00">
                  <c:v>279634790.36044538</c:v>
                </c:pt>
                <c:pt idx="21" formatCode="[$R-434]\ #\ ##0.00">
                  <c:v>284047504.78432637</c:v>
                </c:pt>
                <c:pt idx="22" formatCode="[$R-434]\ #\ ##0.00">
                  <c:v>436674053.52822769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3-4F6B-8DCF-555451904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144192"/>
        <c:axId val="834088464"/>
      </c:lineChart>
      <c:catAx>
        <c:axId val="42214419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088464"/>
        <c:crosses val="autoZero"/>
        <c:auto val="1"/>
        <c:lblAlgn val="ctr"/>
        <c:lblOffset val="100"/>
        <c:noMultiLvlLbl val="0"/>
      </c:catAx>
      <c:valAx>
        <c:axId val="8340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14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Sheet3!$B$2:$B$49</c:f>
              <c:numCache>
                <c:formatCode>[$R-434]\ #\ ##0.00</c:formatCode>
                <c:ptCount val="48"/>
                <c:pt idx="0">
                  <c:v>208343291.19999999</c:v>
                </c:pt>
                <c:pt idx="1">
                  <c:v>120023709.54000001</c:v>
                </c:pt>
                <c:pt idx="2">
                  <c:v>120111620.78</c:v>
                </c:pt>
                <c:pt idx="3">
                  <c:v>118568754.98999999</c:v>
                </c:pt>
                <c:pt idx="4">
                  <c:v>109712490.7</c:v>
                </c:pt>
                <c:pt idx="5">
                  <c:v>119865906.34</c:v>
                </c:pt>
                <c:pt idx="6">
                  <c:v>112238319.48</c:v>
                </c:pt>
                <c:pt idx="7">
                  <c:v>122813349.93000001</c:v>
                </c:pt>
                <c:pt idx="8">
                  <c:v>117572062.88</c:v>
                </c:pt>
                <c:pt idx="9">
                  <c:v>274666188.64999998</c:v>
                </c:pt>
                <c:pt idx="10">
                  <c:v>260567700.24000001</c:v>
                </c:pt>
                <c:pt idx="11">
                  <c:v>277013750.64999998</c:v>
                </c:pt>
                <c:pt idx="12">
                  <c:v>263433752.09</c:v>
                </c:pt>
                <c:pt idx="13">
                  <c:v>169733900.40000001</c:v>
                </c:pt>
                <c:pt idx="14">
                  <c:v>145463723.53999999</c:v>
                </c:pt>
                <c:pt idx="15">
                  <c:v>145818937.69</c:v>
                </c:pt>
                <c:pt idx="16">
                  <c:v>134855203.44</c:v>
                </c:pt>
                <c:pt idx="17">
                  <c:v>136886068.88</c:v>
                </c:pt>
                <c:pt idx="18">
                  <c:v>148929316.33000001</c:v>
                </c:pt>
                <c:pt idx="19">
                  <c:v>308892054.16000003</c:v>
                </c:pt>
                <c:pt idx="20">
                  <c:v>296927274.94999999</c:v>
                </c:pt>
                <c:pt idx="21">
                  <c:v>187906578.78</c:v>
                </c:pt>
                <c:pt idx="22">
                  <c:v>158400595.19</c:v>
                </c:pt>
                <c:pt idx="23">
                  <c:v>162592307.16</c:v>
                </c:pt>
                <c:pt idx="24">
                  <c:v>296927274.94999999</c:v>
                </c:pt>
                <c:pt idx="25">
                  <c:v>187906578.78</c:v>
                </c:pt>
                <c:pt idx="26">
                  <c:v>158400595.19</c:v>
                </c:pt>
                <c:pt idx="27">
                  <c:v>162592307.16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6DC-BC54-E56EC51AAE92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Sheet3!$A$2:$A$49</c:f>
              <c:numCache>
                <c:formatCode>[$-409]mmmm\-yy;@</c:formatCode>
                <c:ptCount val="48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  <c:pt idx="35">
                  <c:v>45845</c:v>
                </c:pt>
                <c:pt idx="36">
                  <c:v>45876</c:v>
                </c:pt>
                <c:pt idx="37">
                  <c:v>45907</c:v>
                </c:pt>
                <c:pt idx="38">
                  <c:v>45938</c:v>
                </c:pt>
                <c:pt idx="39">
                  <c:v>45969</c:v>
                </c:pt>
                <c:pt idx="40">
                  <c:v>46000</c:v>
                </c:pt>
                <c:pt idx="41">
                  <c:v>46031</c:v>
                </c:pt>
                <c:pt idx="42">
                  <c:v>46062</c:v>
                </c:pt>
                <c:pt idx="43">
                  <c:v>46093</c:v>
                </c:pt>
                <c:pt idx="44">
                  <c:v>46124</c:v>
                </c:pt>
                <c:pt idx="45">
                  <c:v>46155</c:v>
                </c:pt>
                <c:pt idx="46">
                  <c:v>46186</c:v>
                </c:pt>
                <c:pt idx="47">
                  <c:v>46203</c:v>
                </c:pt>
              </c:numCache>
            </c:numRef>
          </c:cat>
          <c:val>
            <c:numRef>
              <c:f>Sheet3!$C$2:$C$49</c:f>
              <c:numCache>
                <c:formatCode>General</c:formatCode>
                <c:ptCount val="48"/>
                <c:pt idx="27" formatCode="[$R-434]\ #\ ##0.00">
                  <c:v>162592307.16</c:v>
                </c:pt>
                <c:pt idx="28" formatCode="[$R-434]\ #\ ##0.00">
                  <c:v>290527904.80721515</c:v>
                </c:pt>
                <c:pt idx="29" formatCode="[$R-434]\ #\ ##0.00">
                  <c:v>291177994.28121203</c:v>
                </c:pt>
                <c:pt idx="30" formatCode="[$R-434]\ #\ ##0.00">
                  <c:v>233471920.54608765</c:v>
                </c:pt>
                <c:pt idx="31" formatCode="[$R-434]\ #\ ##0.00">
                  <c:v>189996713.56792304</c:v>
                </c:pt>
                <c:pt idx="32" formatCode="[$R-434]\ #\ ##0.00">
                  <c:v>189154531.08904555</c:v>
                </c:pt>
                <c:pt idx="33" formatCode="[$R-434]\ #\ ##0.00">
                  <c:v>209372075.02100307</c:v>
                </c:pt>
                <c:pt idx="34" formatCode="[$R-434]\ #\ ##0.00">
                  <c:v>177094895.66910878</c:v>
                </c:pt>
                <c:pt idx="35" formatCode="[$R-434]\ #\ ##0.00">
                  <c:v>187071708.87784362</c:v>
                </c:pt>
                <c:pt idx="36" formatCode="[$R-434]\ #\ ##0.00">
                  <c:v>273825007.56585979</c:v>
                </c:pt>
                <c:pt idx="37" formatCode="[$R-434]\ #\ ##0.00">
                  <c:v>322070450.79441261</c:v>
                </c:pt>
                <c:pt idx="38" formatCode="[$R-434]\ #\ ##0.00">
                  <c:v>311059085.40342599</c:v>
                </c:pt>
                <c:pt idx="39" formatCode="[$R-434]\ #\ ##0.00">
                  <c:v>255815331.01305893</c:v>
                </c:pt>
                <c:pt idx="40" formatCode="[$R-434]\ #\ ##0.00">
                  <c:v>220382370.03703901</c:v>
                </c:pt>
                <c:pt idx="41" formatCode="[$R-434]\ #\ ##0.00">
                  <c:v>224018379.57893553</c:v>
                </c:pt>
                <c:pt idx="42" formatCode="[$R-434]\ #\ ##0.00">
                  <c:v>235929485.2493211</c:v>
                </c:pt>
                <c:pt idx="43" formatCode="[$R-434]\ #\ ##0.00">
                  <c:v>206372581.58597532</c:v>
                </c:pt>
                <c:pt idx="44" formatCode="[$R-434]\ #\ ##0.00">
                  <c:v>234341585.88048264</c:v>
                </c:pt>
                <c:pt idx="45" formatCode="[$R-434]\ #\ ##0.00">
                  <c:v>316384480.44330102</c:v>
                </c:pt>
                <c:pt idx="46" formatCode="[$R-434]\ #\ ##0.00">
                  <c:v>353697024.81459576</c:v>
                </c:pt>
                <c:pt idx="47" formatCode="[$R-434]\ #\ ##0.00">
                  <c:v>355173117.26071244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6DC-BC54-E56EC51AAE92}"/>
            </c:ext>
          </c:extLst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Sheet3!$A$2:$A$49</c:f>
              <c:numCache>
                <c:formatCode>[$-409]mmmm\-yy;@</c:formatCode>
                <c:ptCount val="48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  <c:pt idx="35">
                  <c:v>45845</c:v>
                </c:pt>
                <c:pt idx="36">
                  <c:v>45876</c:v>
                </c:pt>
                <c:pt idx="37">
                  <c:v>45907</c:v>
                </c:pt>
                <c:pt idx="38">
                  <c:v>45938</c:v>
                </c:pt>
                <c:pt idx="39">
                  <c:v>45969</c:v>
                </c:pt>
                <c:pt idx="40">
                  <c:v>46000</c:v>
                </c:pt>
                <c:pt idx="41">
                  <c:v>46031</c:v>
                </c:pt>
                <c:pt idx="42">
                  <c:v>46062</c:v>
                </c:pt>
                <c:pt idx="43">
                  <c:v>46093</c:v>
                </c:pt>
                <c:pt idx="44">
                  <c:v>46124</c:v>
                </c:pt>
                <c:pt idx="45">
                  <c:v>46155</c:v>
                </c:pt>
                <c:pt idx="46">
                  <c:v>46186</c:v>
                </c:pt>
                <c:pt idx="47">
                  <c:v>46203</c:v>
                </c:pt>
              </c:numCache>
            </c:numRef>
          </c:cat>
          <c:val>
            <c:numRef>
              <c:f>Sheet3!$D$2:$D$49</c:f>
              <c:numCache>
                <c:formatCode>General</c:formatCode>
                <c:ptCount val="48"/>
                <c:pt idx="27" formatCode="[$R-434]\ #\ ##0.00">
                  <c:v>162592307.16</c:v>
                </c:pt>
                <c:pt idx="28" formatCode="[$R-434]\ #\ ##0.00">
                  <c:v>174936861.27063352</c:v>
                </c:pt>
                <c:pt idx="29" formatCode="[$R-434]\ #\ ##0.00">
                  <c:v>171979557.72997773</c:v>
                </c:pt>
                <c:pt idx="30" formatCode="[$R-434]\ #\ ##0.00">
                  <c:v>110732550.51945509</c:v>
                </c:pt>
                <c:pt idx="31" formatCode="[$R-434]\ #\ ##0.00">
                  <c:v>63480467.111239374</c:v>
                </c:pt>
                <c:pt idx="32" formatCode="[$R-434]\ #\ ##0.00">
                  <c:v>59239020.051997572</c:v>
                </c:pt>
                <c:pt idx="33" formatCode="[$R-434]\ #\ ##0.00">
                  <c:v>76040049.598240346</c:v>
                </c:pt>
                <c:pt idx="34" formatCode="[$R-434]\ #\ ##0.00">
                  <c:v>40478629.776183754</c:v>
                </c:pt>
                <c:pt idx="35" formatCode="[$R-434]\ #\ ##0.00">
                  <c:v>47154732.589932382</c:v>
                </c:pt>
                <c:pt idx="36" formatCode="[$R-434]\ #\ ##0.00">
                  <c:v>129017017.12076655</c:v>
                </c:pt>
                <c:pt idx="37" formatCode="[$R-434]\ #\ ##0.00">
                  <c:v>167319271.43864635</c:v>
                </c:pt>
                <c:pt idx="38" formatCode="[$R-434]\ #\ ##0.00">
                  <c:v>153321117.56374082</c:v>
                </c:pt>
                <c:pt idx="39" formatCode="[$R-434]\ #\ ##0.00">
                  <c:v>95175713.890121043</c:v>
                </c:pt>
                <c:pt idx="40" formatCode="[$R-434]\ #\ ##0.00">
                  <c:v>56821961.613831639</c:v>
                </c:pt>
                <c:pt idx="41" formatCode="[$R-434]\ #\ ##0.00">
                  <c:v>57635831.840928763</c:v>
                </c:pt>
                <c:pt idx="42" formatCode="[$R-434]\ #\ ##0.00">
                  <c:v>66673926.551248789</c:v>
                </c:pt>
                <c:pt idx="43" formatCode="[$R-434]\ #\ ##0.00">
                  <c:v>34155739.408573806</c:v>
                </c:pt>
                <c:pt idx="44" formatCode="[$R-434]\ #\ ##0.00">
                  <c:v>59347113.487274081</c:v>
                </c:pt>
                <c:pt idx="45" formatCode="[$R-434]\ #\ ##0.00">
                  <c:v>135774609.4906159</c:v>
                </c:pt>
                <c:pt idx="46" formatCode="[$R-434]\ #\ ##0.00">
                  <c:v>166053533.83256149</c:v>
                </c:pt>
                <c:pt idx="47" formatCode="[$R-434]\ #\ ##0.00">
                  <c:v>166067574.78809699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6DC-BC54-E56EC51AAE92}"/>
            </c:ext>
          </c:extLst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Sheet3!$A$2:$A$49</c:f>
              <c:numCache>
                <c:formatCode>[$-409]mmmm\-yy;@</c:formatCode>
                <c:ptCount val="48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  <c:pt idx="35">
                  <c:v>45845</c:v>
                </c:pt>
                <c:pt idx="36">
                  <c:v>45876</c:v>
                </c:pt>
                <c:pt idx="37">
                  <c:v>45907</c:v>
                </c:pt>
                <c:pt idx="38">
                  <c:v>45938</c:v>
                </c:pt>
                <c:pt idx="39">
                  <c:v>45969</c:v>
                </c:pt>
                <c:pt idx="40">
                  <c:v>46000</c:v>
                </c:pt>
                <c:pt idx="41">
                  <c:v>46031</c:v>
                </c:pt>
                <c:pt idx="42">
                  <c:v>46062</c:v>
                </c:pt>
                <c:pt idx="43">
                  <c:v>46093</c:v>
                </c:pt>
                <c:pt idx="44">
                  <c:v>46124</c:v>
                </c:pt>
                <c:pt idx="45">
                  <c:v>46155</c:v>
                </c:pt>
                <c:pt idx="46">
                  <c:v>46186</c:v>
                </c:pt>
                <c:pt idx="47">
                  <c:v>46203</c:v>
                </c:pt>
              </c:numCache>
            </c:numRef>
          </c:cat>
          <c:val>
            <c:numRef>
              <c:f>Sheet3!$E$2:$E$49</c:f>
              <c:numCache>
                <c:formatCode>General</c:formatCode>
                <c:ptCount val="48"/>
                <c:pt idx="27" formatCode="[$R-434]\ #\ ##0.00">
                  <c:v>162592307.16</c:v>
                </c:pt>
                <c:pt idx="28" formatCode="[$R-434]\ #\ ##0.00">
                  <c:v>406118948.34379679</c:v>
                </c:pt>
                <c:pt idx="29" formatCode="[$R-434]\ #\ ##0.00">
                  <c:v>410376430.83244634</c:v>
                </c:pt>
                <c:pt idx="30" formatCode="[$R-434]\ #\ ##0.00">
                  <c:v>356211290.57272023</c:v>
                </c:pt>
                <c:pt idx="31" formatCode="[$R-434]\ #\ ##0.00">
                  <c:v>316512960.0246067</c:v>
                </c:pt>
                <c:pt idx="32" formatCode="[$R-434]\ #\ ##0.00">
                  <c:v>319070042.12609351</c:v>
                </c:pt>
                <c:pt idx="33" formatCode="[$R-434]\ #\ ##0.00">
                  <c:v>342704100.44376576</c:v>
                </c:pt>
                <c:pt idx="34" formatCode="[$R-434]\ #\ ##0.00">
                  <c:v>313711161.56203377</c:v>
                </c:pt>
                <c:pt idx="35" formatCode="[$R-434]\ #\ ##0.00">
                  <c:v>326988685.16575485</c:v>
                </c:pt>
                <c:pt idx="36" formatCode="[$R-434]\ #\ ##0.00">
                  <c:v>418632998.01095307</c:v>
                </c:pt>
                <c:pt idx="37" formatCode="[$R-434]\ #\ ##0.00">
                  <c:v>476821630.15017891</c:v>
                </c:pt>
                <c:pt idx="38" formatCode="[$R-434]\ #\ ##0.00">
                  <c:v>468797053.24311113</c:v>
                </c:pt>
                <c:pt idx="39" formatCode="[$R-434]\ #\ ##0.00">
                  <c:v>416454948.13599682</c:v>
                </c:pt>
                <c:pt idx="40" formatCode="[$R-434]\ #\ ##0.00">
                  <c:v>383942778.46024638</c:v>
                </c:pt>
                <c:pt idx="41" formatCode="[$R-434]\ #\ ##0.00">
                  <c:v>390400927.31694233</c:v>
                </c:pt>
                <c:pt idx="42" formatCode="[$R-434]\ #\ ##0.00">
                  <c:v>405185043.94739342</c:v>
                </c:pt>
                <c:pt idx="43" formatCode="[$R-434]\ #\ ##0.00">
                  <c:v>378589423.76337683</c:v>
                </c:pt>
                <c:pt idx="44" formatCode="[$R-434]\ #\ ##0.00">
                  <c:v>409336058.27369118</c:v>
                </c:pt>
                <c:pt idx="45" formatCode="[$R-434]\ #\ ##0.00">
                  <c:v>496994351.39598614</c:v>
                </c:pt>
                <c:pt idx="46" formatCode="[$R-434]\ #\ ##0.00">
                  <c:v>541340515.79663002</c:v>
                </c:pt>
                <c:pt idx="47" formatCode="[$R-434]\ #\ ##0.00">
                  <c:v>544278659.73332787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93-46DC-BC54-E56EC51AA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363295"/>
        <c:axId val="938364735"/>
      </c:lineChart>
      <c:catAx>
        <c:axId val="93836329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364735"/>
        <c:crosses val="autoZero"/>
        <c:auto val="1"/>
        <c:lblAlgn val="ctr"/>
        <c:lblOffset val="100"/>
        <c:noMultiLvlLbl val="0"/>
      </c:catAx>
      <c:valAx>
        <c:axId val="93836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36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Sheet4!$B$2:$B$37</c:f>
              <c:numCache>
                <c:formatCode>[$R-434]\ #\ ##0.00</c:formatCode>
                <c:ptCount val="36"/>
                <c:pt idx="0">
                  <c:v>208343291.19999999</c:v>
                </c:pt>
                <c:pt idx="1">
                  <c:v>120023709.54000001</c:v>
                </c:pt>
                <c:pt idx="2">
                  <c:v>120111620.78</c:v>
                </c:pt>
                <c:pt idx="3">
                  <c:v>118568754.98999999</c:v>
                </c:pt>
                <c:pt idx="4">
                  <c:v>109712490.7</c:v>
                </c:pt>
                <c:pt idx="5">
                  <c:v>119865906.34</c:v>
                </c:pt>
                <c:pt idx="6">
                  <c:v>112238319.48</c:v>
                </c:pt>
                <c:pt idx="7">
                  <c:v>122813349.93000001</c:v>
                </c:pt>
                <c:pt idx="8">
                  <c:v>117572062.88</c:v>
                </c:pt>
                <c:pt idx="9">
                  <c:v>274666188.64999998</c:v>
                </c:pt>
                <c:pt idx="10">
                  <c:v>260567700.24000001</c:v>
                </c:pt>
                <c:pt idx="11">
                  <c:v>277013750.64999998</c:v>
                </c:pt>
                <c:pt idx="12">
                  <c:v>263433752.09</c:v>
                </c:pt>
                <c:pt idx="13">
                  <c:v>169733900.40000001</c:v>
                </c:pt>
                <c:pt idx="14">
                  <c:v>145463723.53999999</c:v>
                </c:pt>
                <c:pt idx="15">
                  <c:v>145818937.69</c:v>
                </c:pt>
                <c:pt idx="16">
                  <c:v>134855203.44</c:v>
                </c:pt>
                <c:pt idx="17">
                  <c:v>136886068.88</c:v>
                </c:pt>
                <c:pt idx="18">
                  <c:v>148929316.33000001</c:v>
                </c:pt>
                <c:pt idx="19">
                  <c:v>142234975.59</c:v>
                </c:pt>
                <c:pt idx="20">
                  <c:v>147726850.22</c:v>
                </c:pt>
                <c:pt idx="21">
                  <c:v>146700542.5</c:v>
                </c:pt>
                <c:pt idx="22">
                  <c:v>261527970.63999999</c:v>
                </c:pt>
                <c:pt idx="23">
                  <c:v>308892054.16000003</c:v>
                </c:pt>
                <c:pt idx="24">
                  <c:v>296927274.94999999</c:v>
                </c:pt>
                <c:pt idx="25">
                  <c:v>187906578.78</c:v>
                </c:pt>
                <c:pt idx="26">
                  <c:v>158400595.19</c:v>
                </c:pt>
                <c:pt idx="27">
                  <c:v>162592307.16</c:v>
                </c:pt>
                <c:pt idx="28">
                  <c:v>187423920.27845708</c:v>
                </c:pt>
                <c:pt idx="29">
                  <c:v>213364739.31291047</c:v>
                </c:pt>
                <c:pt idx="30">
                  <c:v>234413217.41444388</c:v>
                </c:pt>
                <c:pt idx="31">
                  <c:v>254222690.80398399</c:v>
                </c:pt>
                <c:pt idx="32">
                  <c:v>270538976.8524583</c:v>
                </c:pt>
                <c:pt idx="33">
                  <c:v>285903468.24422598</c:v>
                </c:pt>
                <c:pt idx="34">
                  <c:v>385618907.39423937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7-4730-8FCE-5B2CE41956B6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Sheet4!$A$2:$A$37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Sheet4!$C$2:$C$37</c:f>
              <c:numCache>
                <c:formatCode>General</c:formatCode>
                <c:ptCount val="36"/>
                <c:pt idx="27" formatCode="[$R-434]\ #\ ##0.00">
                  <c:v>162592307.16</c:v>
                </c:pt>
                <c:pt idx="28" formatCode="[$R-434]\ #\ ##0.00">
                  <c:v>165330432.43956172</c:v>
                </c:pt>
                <c:pt idx="29" formatCode="[$R-434]\ #\ ##0.00">
                  <c:v>167737109.68218717</c:v>
                </c:pt>
                <c:pt idx="30" formatCode="[$R-434]\ #\ ##0.00">
                  <c:v>170152104.9337157</c:v>
                </c:pt>
                <c:pt idx="31" formatCode="[$R-434]\ #\ ##0.00">
                  <c:v>172783368.41672441</c:v>
                </c:pt>
                <c:pt idx="32" formatCode="[$R-434]\ #\ ##0.00">
                  <c:v>175200396.95931813</c:v>
                </c:pt>
                <c:pt idx="33" formatCode="[$R-434]\ #\ ##0.00">
                  <c:v>177674357.65173742</c:v>
                </c:pt>
                <c:pt idx="34" formatCode="[$R-434]\ #\ ##0.00">
                  <c:v>180093974.01932323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7-4730-8FCE-5B2CE41956B6}"/>
            </c:ext>
          </c:extLst>
        </c:ser>
        <c:ser>
          <c:idx val="2"/>
          <c:order val="2"/>
          <c:tx>
            <c:strRef>
              <c:f>Sheet4!$D$1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Sheet4!$A$2:$A$37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Sheet4!$D$2:$D$37</c:f>
              <c:numCache>
                <c:formatCode>General</c:formatCode>
                <c:ptCount val="36"/>
                <c:pt idx="27" formatCode="[$R-434]\ #\ ##0.00">
                  <c:v>162592307.16</c:v>
                </c:pt>
                <c:pt idx="28" formatCode="[$R-434]\ #\ ##0.00">
                  <c:v>62912407.338470891</c:v>
                </c:pt>
                <c:pt idx="29" formatCode="[$R-434]\ #\ ##0.00">
                  <c:v>30667448.917359233</c:v>
                </c:pt>
                <c:pt idx="30" formatCode="[$R-434]\ #\ ##0.00">
                  <c:v>5428184.9896545112</c:v>
                </c:pt>
                <c:pt idx="31" formatCode="[$R-434]\ #\ ##0.00">
                  <c:v>-17608535.743671119</c:v>
                </c:pt>
                <c:pt idx="32" formatCode="[$R-434]\ #\ ##0.00">
                  <c:v>-36083458.727733135</c:v>
                </c:pt>
                <c:pt idx="33" formatCode="[$R-434]\ #\ ##0.00">
                  <c:v>-53084810.759705395</c:v>
                </c:pt>
                <c:pt idx="34" formatCode="[$R-434]\ #\ ##0.00">
                  <c:v>-68277504.621619463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7-4730-8FCE-5B2CE41956B6}"/>
            </c:ext>
          </c:extLst>
        </c:ser>
        <c:ser>
          <c:idx val="3"/>
          <c:order val="3"/>
          <c:tx>
            <c:strRef>
              <c:f>Sheet4!$E$1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Sheet4!$A$2:$A$37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Sheet4!$E$2:$E$37</c:f>
              <c:numCache>
                <c:formatCode>General</c:formatCode>
                <c:ptCount val="36"/>
                <c:pt idx="27" formatCode="[$R-434]\ #\ ##0.00">
                  <c:v>162592307.16</c:v>
                </c:pt>
                <c:pt idx="28" formatCode="[$R-434]\ #\ ##0.00">
                  <c:v>267748457.54065257</c:v>
                </c:pt>
                <c:pt idx="29" formatCode="[$R-434]\ #\ ##0.00">
                  <c:v>304806770.44701511</c:v>
                </c:pt>
                <c:pt idx="30" formatCode="[$R-434]\ #\ ##0.00">
                  <c:v>334876024.87777686</c:v>
                </c:pt>
                <c:pt idx="31" formatCode="[$R-434]\ #\ ##0.00">
                  <c:v>363175272.57711995</c:v>
                </c:pt>
                <c:pt idx="32" formatCode="[$R-434]\ #\ ##0.00">
                  <c:v>386484252.6463694</c:v>
                </c:pt>
                <c:pt idx="33" formatCode="[$R-434]\ #\ ##0.00">
                  <c:v>408433526.06318021</c:v>
                </c:pt>
                <c:pt idx="34" formatCode="[$R-434]\ #\ ##0.00">
                  <c:v>428465452.66026592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7-4730-8FCE-5B2CE419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221952"/>
        <c:axId val="1969225312"/>
      </c:lineChart>
      <c:catAx>
        <c:axId val="196922195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225312"/>
        <c:crosses val="autoZero"/>
        <c:auto val="1"/>
        <c:lblAlgn val="ctr"/>
        <c:lblOffset val="100"/>
        <c:noMultiLvlLbl val="0"/>
      </c:catAx>
      <c:valAx>
        <c:axId val="196922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2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93500812398446E-2"/>
          <c:y val="1.7316017316017316E-2"/>
          <c:w val="0.88592230319036203"/>
          <c:h val="0.73793412187112972"/>
        </c:manualLayout>
      </c:layout>
      <c:lineChart>
        <c:grouping val="standar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Sheet5!$B$2:$B$36</c:f>
              <c:numCache>
                <c:formatCode>[$R-434]\ #\ ##0.00</c:formatCode>
                <c:ptCount val="35"/>
                <c:pt idx="0">
                  <c:v>27509815.395</c:v>
                </c:pt>
                <c:pt idx="1">
                  <c:v>17411055.780000001</c:v>
                </c:pt>
                <c:pt idx="2">
                  <c:v>17618615.640000001</c:v>
                </c:pt>
                <c:pt idx="3">
                  <c:v>17173310.559999999</c:v>
                </c:pt>
                <c:pt idx="4">
                  <c:v>16610246.67</c:v>
                </c:pt>
                <c:pt idx="5">
                  <c:v>17282716.800000001</c:v>
                </c:pt>
                <c:pt idx="6">
                  <c:v>16263853.439999999</c:v>
                </c:pt>
                <c:pt idx="7">
                  <c:v>18027266.600000001</c:v>
                </c:pt>
                <c:pt idx="8">
                  <c:v>16855917.859999999</c:v>
                </c:pt>
                <c:pt idx="9">
                  <c:v>24561691.23</c:v>
                </c:pt>
                <c:pt idx="10">
                  <c:v>30970724.600000001</c:v>
                </c:pt>
                <c:pt idx="11">
                  <c:v>34510758.18</c:v>
                </c:pt>
                <c:pt idx="12">
                  <c:v>36859941.710000001</c:v>
                </c:pt>
                <c:pt idx="13">
                  <c:v>30015297.140000001</c:v>
                </c:pt>
                <c:pt idx="14">
                  <c:v>20935898.120000001</c:v>
                </c:pt>
                <c:pt idx="15">
                  <c:v>21463368.100000001</c:v>
                </c:pt>
                <c:pt idx="16">
                  <c:v>20804855.030000001</c:v>
                </c:pt>
                <c:pt idx="17">
                  <c:v>19649773.460000001</c:v>
                </c:pt>
                <c:pt idx="18">
                  <c:v>21436355.960000001</c:v>
                </c:pt>
                <c:pt idx="19">
                  <c:v>20560323.129999999</c:v>
                </c:pt>
                <c:pt idx="20">
                  <c:v>20990117.309999999</c:v>
                </c:pt>
                <c:pt idx="21">
                  <c:v>21185443.989999998</c:v>
                </c:pt>
                <c:pt idx="22">
                  <c:v>30453567.859999999</c:v>
                </c:pt>
                <c:pt idx="23">
                  <c:v>36471456.740000002</c:v>
                </c:pt>
                <c:pt idx="24">
                  <c:v>42635932.229999997</c:v>
                </c:pt>
                <c:pt idx="25">
                  <c:v>32930432.5</c:v>
                </c:pt>
                <c:pt idx="26">
                  <c:v>23911952.460000001</c:v>
                </c:pt>
                <c:pt idx="27">
                  <c:v>24177668.98</c:v>
                </c:pt>
                <c:pt idx="28">
                  <c:v>24696797.065392699</c:v>
                </c:pt>
                <c:pt idx="29">
                  <c:v>26341437.467621539</c:v>
                </c:pt>
                <c:pt idx="30">
                  <c:v>28026590.300683483</c:v>
                </c:pt>
                <c:pt idx="31">
                  <c:v>29791239.224436637</c:v>
                </c:pt>
                <c:pt idx="32">
                  <c:v>31556868.36016788</c:v>
                </c:pt>
                <c:pt idx="33">
                  <c:v>33373234.706722498</c:v>
                </c:pt>
                <c:pt idx="34">
                  <c:v>35218264.010260239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A-421D-8581-0EECBE389BAC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Sheet5!$A$2:$A$36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Sheet5!$C$2:$C$36</c:f>
              <c:numCache>
                <c:formatCode>General</c:formatCode>
                <c:ptCount val="35"/>
                <c:pt idx="27" formatCode="[$R-434]\ #\ ##0.00">
                  <c:v>24177668.98</c:v>
                </c:pt>
                <c:pt idx="28" formatCode="[$R-434]\ #\ ##0.00">
                  <c:v>24696797.065392666</c:v>
                </c:pt>
                <c:pt idx="29" formatCode="[$R-434]\ #\ ##0.00">
                  <c:v>25087083.302496731</c:v>
                </c:pt>
                <c:pt idx="30" formatCode="[$R-434]\ #\ ##0.00">
                  <c:v>25478718.455166824</c:v>
                </c:pt>
                <c:pt idx="31" formatCode="[$R-434]\ #\ ##0.00">
                  <c:v>25905425.412553642</c:v>
                </c:pt>
                <c:pt idx="32" formatCode="[$R-434]\ #\ ##0.00">
                  <c:v>26297390.300139874</c:v>
                </c:pt>
                <c:pt idx="33" formatCode="[$R-434]\ #\ ##0.00">
                  <c:v>26698587.765378032</c:v>
                </c:pt>
                <c:pt idx="34" formatCode="[$R-434]\ #\ ##0.00">
                  <c:v>27090972.315584809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A-421D-8581-0EECBE389BAC}"/>
            </c:ext>
          </c:extLst>
        </c:ser>
        <c:ser>
          <c:idx val="2"/>
          <c:order val="2"/>
          <c:tx>
            <c:strRef>
              <c:f>Sheet5!$D$1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Sheet5!$A$2:$A$36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Sheet5!$D$2:$D$36</c:f>
              <c:numCache>
                <c:formatCode>General</c:formatCode>
                <c:ptCount val="35"/>
                <c:pt idx="27" formatCode="[$R-434]\ #\ ##0.00">
                  <c:v>24177668.98</c:v>
                </c:pt>
                <c:pt idx="28" formatCode="[$R-434]\ #\ ##0.00">
                  <c:v>14370771.44514058</c:v>
                </c:pt>
                <c:pt idx="29" formatCode="[$R-434]\ #\ ##0.00">
                  <c:v>11267398.462647185</c:v>
                </c:pt>
                <c:pt idx="30" formatCode="[$R-434]\ #\ ##0.00">
                  <c:v>8870866.3126184009</c:v>
                </c:pt>
                <c:pt idx="31" formatCode="[$R-434]\ #\ ##0.00">
                  <c:v>6709666.8699698634</c:v>
                </c:pt>
                <c:pt idx="32" formatCode="[$R-434]\ #\ ##0.00">
                  <c:v>4995256.1805189848</c:v>
                </c:pt>
                <c:pt idx="33" formatCode="[$R-434]\ #\ ##0.00">
                  <c:v>3432906.9169856012</c:v>
                </c:pt>
                <c:pt idx="34" formatCode="[$R-434]\ #\ ##0.00">
                  <c:v>2049577.0215942003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A-421D-8581-0EECBE389BAC}"/>
            </c:ext>
          </c:extLst>
        </c:ser>
        <c:ser>
          <c:idx val="3"/>
          <c:order val="3"/>
          <c:tx>
            <c:strRef>
              <c:f>Sheet5!$E$1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Sheet5!$A$2:$A$36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Sheet5!$E$2:$E$36</c:f>
              <c:numCache>
                <c:formatCode>General</c:formatCode>
                <c:ptCount val="35"/>
                <c:pt idx="27" formatCode="[$R-434]\ #\ ##0.00">
                  <c:v>24177668.98</c:v>
                </c:pt>
                <c:pt idx="28" formatCode="[$R-434]\ #\ ##0.00">
                  <c:v>35022822.685644753</c:v>
                </c:pt>
                <c:pt idx="29" formatCode="[$R-434]\ #\ ##0.00">
                  <c:v>38906768.142346278</c:v>
                </c:pt>
                <c:pt idx="30" formatCode="[$R-434]\ #\ ##0.00">
                  <c:v>42086570.597715244</c:v>
                </c:pt>
                <c:pt idx="31" formatCode="[$R-434]\ #\ ##0.00">
                  <c:v>45101183.955137417</c:v>
                </c:pt>
                <c:pt idx="32" formatCode="[$R-434]\ #\ ##0.00">
                  <c:v>47599524.419760764</c:v>
                </c:pt>
                <c:pt idx="33" formatCode="[$R-434]\ #\ ##0.00">
                  <c:v>49964268.613770463</c:v>
                </c:pt>
                <c:pt idx="34" formatCode="[$R-434]\ #\ ##0.00">
                  <c:v>52132367.609575421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6A-421D-8581-0EECBE38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665439"/>
        <c:axId val="938665919"/>
      </c:lineChart>
      <c:catAx>
        <c:axId val="938665439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65919"/>
        <c:crosses val="autoZero"/>
        <c:auto val="1"/>
        <c:lblAlgn val="ctr"/>
        <c:lblOffset val="100"/>
        <c:noMultiLvlLbl val="0"/>
      </c:catAx>
      <c:valAx>
        <c:axId val="9386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6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Sheet6!$B$1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Sheet6!$B$2:$B$36</c:f>
              <c:numCache>
                <c:formatCode>[$R-434]\ #\ ##0.00</c:formatCode>
                <c:ptCount val="35"/>
                <c:pt idx="0">
                  <c:v>2058069.14</c:v>
                </c:pt>
                <c:pt idx="1">
                  <c:v>1181240.83</c:v>
                </c:pt>
                <c:pt idx="2">
                  <c:v>1139273.93</c:v>
                </c:pt>
                <c:pt idx="3">
                  <c:v>1067844.3899999999</c:v>
                </c:pt>
                <c:pt idx="4">
                  <c:v>1099126.3899999999</c:v>
                </c:pt>
                <c:pt idx="5">
                  <c:v>1087559.46</c:v>
                </c:pt>
                <c:pt idx="6">
                  <c:v>1018157.39</c:v>
                </c:pt>
                <c:pt idx="7">
                  <c:v>1145003.44</c:v>
                </c:pt>
                <c:pt idx="8">
                  <c:v>1211714.75</c:v>
                </c:pt>
                <c:pt idx="9">
                  <c:v>1801431.71</c:v>
                </c:pt>
                <c:pt idx="10">
                  <c:v>1871990.03</c:v>
                </c:pt>
                <c:pt idx="11">
                  <c:v>2045818.2</c:v>
                </c:pt>
                <c:pt idx="12">
                  <c:v>2315972.88</c:v>
                </c:pt>
                <c:pt idx="13">
                  <c:v>1822834.98</c:v>
                </c:pt>
                <c:pt idx="14">
                  <c:v>1252527.55</c:v>
                </c:pt>
                <c:pt idx="15">
                  <c:v>1241748.8500000001</c:v>
                </c:pt>
                <c:pt idx="16">
                  <c:v>1123553.17</c:v>
                </c:pt>
                <c:pt idx="17">
                  <c:v>1181231.69</c:v>
                </c:pt>
                <c:pt idx="18">
                  <c:v>1268508.8</c:v>
                </c:pt>
                <c:pt idx="19">
                  <c:v>1242066.78</c:v>
                </c:pt>
                <c:pt idx="20">
                  <c:v>1342815.23</c:v>
                </c:pt>
                <c:pt idx="21">
                  <c:v>1396011.57</c:v>
                </c:pt>
                <c:pt idx="22">
                  <c:v>1984901.93</c:v>
                </c:pt>
                <c:pt idx="23">
                  <c:v>2210945.39</c:v>
                </c:pt>
                <c:pt idx="24">
                  <c:v>2210945.39</c:v>
                </c:pt>
                <c:pt idx="25">
                  <c:v>2865458.93</c:v>
                </c:pt>
                <c:pt idx="26">
                  <c:v>1446375.72</c:v>
                </c:pt>
                <c:pt idx="27">
                  <c:v>1493752.24</c:v>
                </c:pt>
                <c:pt idx="28">
                  <c:v>1516921.7988396273</c:v>
                </c:pt>
                <c:pt idx="29">
                  <c:v>1539367.308965517</c:v>
                </c:pt>
                <c:pt idx="30">
                  <c:v>1561890.3957393065</c:v>
                </c:pt>
                <c:pt idx="31">
                  <c:v>1586430.4753585109</c:v>
                </c:pt>
                <c:pt idx="32">
                  <c:v>1608972.5253128982</c:v>
                </c:pt>
                <c:pt idx="33">
                  <c:v>1632045.5443240278</c:v>
                </c:pt>
                <c:pt idx="34">
                  <c:v>1654611.7292355401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7-40B2-B4D7-85979FCADA94}"/>
            </c:ext>
          </c:extLst>
        </c:ser>
        <c:ser>
          <c:idx val="1"/>
          <c:order val="1"/>
          <c:tx>
            <c:strRef>
              <c:f>Sheet6!$C$1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Sheet6!$A$2:$A$36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Sheet6!$C$2:$C$36</c:f>
              <c:numCache>
                <c:formatCode>General</c:formatCode>
                <c:ptCount val="35"/>
                <c:pt idx="27" formatCode="[$R-434]\ #\ ##0.00">
                  <c:v>1493752.24</c:v>
                </c:pt>
                <c:pt idx="28" formatCode="[$R-434]\ #\ ##0.00">
                  <c:v>1516921.7988396273</c:v>
                </c:pt>
                <c:pt idx="29" formatCode="[$R-434]\ #\ ##0.00">
                  <c:v>1539367.308965517</c:v>
                </c:pt>
                <c:pt idx="30" formatCode="[$R-434]\ #\ ##0.00">
                  <c:v>1561890.3957393065</c:v>
                </c:pt>
                <c:pt idx="31" formatCode="[$R-434]\ #\ ##0.00">
                  <c:v>1586430.4753585109</c:v>
                </c:pt>
                <c:pt idx="32" formatCode="[$R-434]\ #\ ##0.00">
                  <c:v>1608972.5253128982</c:v>
                </c:pt>
                <c:pt idx="33" formatCode="[$R-434]\ #\ ##0.00">
                  <c:v>1632045.5443240278</c:v>
                </c:pt>
                <c:pt idx="34" formatCode="[$R-434]\ #\ ##0.00">
                  <c:v>1654611.7292355401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7-40B2-B4D7-85979FCADA94}"/>
            </c:ext>
          </c:extLst>
        </c:ser>
        <c:ser>
          <c:idx val="2"/>
          <c:order val="2"/>
          <c:tx>
            <c:strRef>
              <c:f>Sheet6!$D$1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Sheet6!$A$2:$A$36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Sheet6!$D$2:$D$36</c:f>
              <c:numCache>
                <c:formatCode>General</c:formatCode>
                <c:ptCount val="35"/>
                <c:pt idx="27" formatCode="[$R-434]\ #\ ##0.00">
                  <c:v>1493752.24</c:v>
                </c:pt>
                <c:pt idx="28" formatCode="[$R-434]\ #\ ##0.00">
                  <c:v>563453.32018287806</c:v>
                </c:pt>
                <c:pt idx="29" formatCode="[$R-434]\ #\ ##0.00">
                  <c:v>350789.10204779822</c:v>
                </c:pt>
                <c:pt idx="30" formatCode="[$R-434]\ #\ ##0.00">
                  <c:v>176456.91402710322</c:v>
                </c:pt>
                <c:pt idx="31" formatCode="[$R-434]\ #\ ##0.00">
                  <c:v>13820.859930403298</c:v>
                </c:pt>
                <c:pt idx="32" formatCode="[$R-434]\ #\ ##0.00">
                  <c:v>-118183.47998828418</c:v>
                </c:pt>
                <c:pt idx="33" formatCode="[$R-434]\ #\ ##0.00">
                  <c:v>-240510.33240992436</c:v>
                </c:pt>
                <c:pt idx="34" formatCode="[$R-434]\ #\ ##0.00">
                  <c:v>-350315.85548954317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87-40B2-B4D7-85979FCADA94}"/>
            </c:ext>
          </c:extLst>
        </c:ser>
        <c:ser>
          <c:idx val="3"/>
          <c:order val="3"/>
          <c:tx>
            <c:strRef>
              <c:f>Sheet6!$E$1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Sheet6!$A$2:$A$36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Sheet6!$E$2:$E$36</c:f>
              <c:numCache>
                <c:formatCode>General</c:formatCode>
                <c:ptCount val="35"/>
                <c:pt idx="27" formatCode="[$R-434]\ #\ ##0.00">
                  <c:v>1493752.24</c:v>
                </c:pt>
                <c:pt idx="28" formatCode="[$R-434]\ #\ ##0.00">
                  <c:v>2470390.2774963765</c:v>
                </c:pt>
                <c:pt idx="29" formatCode="[$R-434]\ #\ ##0.00">
                  <c:v>2727945.5158832357</c:v>
                </c:pt>
                <c:pt idx="30" formatCode="[$R-434]\ #\ ##0.00">
                  <c:v>2947323.8774515097</c:v>
                </c:pt>
                <c:pt idx="31" formatCode="[$R-434]\ #\ ##0.00">
                  <c:v>3159040.0907866182</c:v>
                </c:pt>
                <c:pt idx="32" formatCode="[$R-434]\ #\ ##0.00">
                  <c:v>3336128.5306140808</c:v>
                </c:pt>
                <c:pt idx="33" formatCode="[$R-434]\ #\ ##0.00">
                  <c:v>3504601.42105798</c:v>
                </c:pt>
                <c:pt idx="34" formatCode="[$R-434]\ #\ ##0.00">
                  <c:v>3659539.3139606235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87-40B2-B4D7-85979FCA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131775"/>
        <c:axId val="795132255"/>
      </c:lineChart>
      <c:catAx>
        <c:axId val="79513177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132255"/>
        <c:crosses val="autoZero"/>
        <c:auto val="1"/>
        <c:lblAlgn val="ctr"/>
        <c:lblOffset val="100"/>
        <c:noMultiLvlLbl val="0"/>
      </c:catAx>
      <c:valAx>
        <c:axId val="79513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131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Sheet9!$B$1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Sheet9!$B$2:$B$36</c:f>
              <c:numCache>
                <c:formatCode>[$R-434]\ #\ ##0.00</c:formatCode>
                <c:ptCount val="35"/>
                <c:pt idx="0">
                  <c:v>174822.25</c:v>
                </c:pt>
                <c:pt idx="1">
                  <c:v>169213.75</c:v>
                </c:pt>
                <c:pt idx="2">
                  <c:v>186978.65</c:v>
                </c:pt>
                <c:pt idx="3">
                  <c:v>178899</c:v>
                </c:pt>
                <c:pt idx="4">
                  <c:v>184681.88</c:v>
                </c:pt>
                <c:pt idx="5">
                  <c:v>184621.72</c:v>
                </c:pt>
                <c:pt idx="6">
                  <c:v>168857.01</c:v>
                </c:pt>
                <c:pt idx="7">
                  <c:v>188652.27</c:v>
                </c:pt>
                <c:pt idx="8">
                  <c:v>184346.12</c:v>
                </c:pt>
                <c:pt idx="9">
                  <c:v>192309.12</c:v>
                </c:pt>
                <c:pt idx="10">
                  <c:v>198240.05</c:v>
                </c:pt>
                <c:pt idx="11">
                  <c:v>200679.52</c:v>
                </c:pt>
                <c:pt idx="12">
                  <c:v>226112.85</c:v>
                </c:pt>
                <c:pt idx="13">
                  <c:v>9069.6</c:v>
                </c:pt>
                <c:pt idx="14">
                  <c:v>226112.85</c:v>
                </c:pt>
                <c:pt idx="15">
                  <c:v>226112.85</c:v>
                </c:pt>
                <c:pt idx="16">
                  <c:v>226469.65</c:v>
                </c:pt>
                <c:pt idx="17">
                  <c:v>226112.85</c:v>
                </c:pt>
                <c:pt idx="18">
                  <c:v>226112.85</c:v>
                </c:pt>
                <c:pt idx="19">
                  <c:v>211677.75</c:v>
                </c:pt>
                <c:pt idx="20">
                  <c:v>226112.85</c:v>
                </c:pt>
                <c:pt idx="21">
                  <c:v>218895.3</c:v>
                </c:pt>
                <c:pt idx="22">
                  <c:v>233330.4</c:v>
                </c:pt>
                <c:pt idx="23">
                  <c:v>236552.66249999998</c:v>
                </c:pt>
                <c:pt idx="24">
                  <c:v>239774.92499999999</c:v>
                </c:pt>
                <c:pt idx="25">
                  <c:v>254873.98</c:v>
                </c:pt>
                <c:pt idx="26">
                  <c:v>246738.36</c:v>
                </c:pt>
                <c:pt idx="27">
                  <c:v>254873.98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1-4DC7-8D1D-A4BD5875B5A1}"/>
            </c:ext>
          </c:extLst>
        </c:ser>
        <c:ser>
          <c:idx val="1"/>
          <c:order val="1"/>
          <c:tx>
            <c:strRef>
              <c:f>Sheet9!$C$1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Sheet9!$A$2:$A$36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Sheet9!$C$2:$C$36</c:f>
              <c:numCache>
                <c:formatCode>General</c:formatCode>
                <c:ptCount val="35"/>
                <c:pt idx="27" formatCode="[$R-434]\ #\ ##0.00">
                  <c:v>254873.98</c:v>
                </c:pt>
                <c:pt idx="28" formatCode="[$R-434]\ #\ ##0.00">
                  <c:v>254857.17841877445</c:v>
                </c:pt>
                <c:pt idx="29" formatCode="[$R-434]\ #\ ##0.00">
                  <c:v>257605.24298806826</c:v>
                </c:pt>
                <c:pt idx="30" formatCode="[$R-434]\ #\ ##0.00">
                  <c:v>260353.30755736219</c:v>
                </c:pt>
                <c:pt idx="31" formatCode="[$R-434]\ #\ ##0.00">
                  <c:v>263101.37212665606</c:v>
                </c:pt>
                <c:pt idx="32" formatCode="[$R-434]\ #\ ##0.00">
                  <c:v>265849.43669594993</c:v>
                </c:pt>
                <c:pt idx="33" formatCode="[$R-434]\ #\ ##0.00">
                  <c:v>268597.5012652438</c:v>
                </c:pt>
                <c:pt idx="34" formatCode="[$R-434]\ #\ ##0.00">
                  <c:v>271345.56583453767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1-4DC7-8D1D-A4BD5875B5A1}"/>
            </c:ext>
          </c:extLst>
        </c:ser>
        <c:ser>
          <c:idx val="2"/>
          <c:order val="2"/>
          <c:tx>
            <c:strRef>
              <c:f>Sheet9!$D$1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Sheet9!$A$2:$A$36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Sheet9!$D$2:$D$36</c:f>
              <c:numCache>
                <c:formatCode>General</c:formatCode>
                <c:ptCount val="35"/>
                <c:pt idx="27" formatCode="[$R-434]\ #\ ##0.00">
                  <c:v>254873.98</c:v>
                </c:pt>
                <c:pt idx="28" formatCode="[$R-434]\ #\ ##0.00">
                  <c:v>176846.43516571936</c:v>
                </c:pt>
                <c:pt idx="29" formatCode="[$R-434]\ #\ ##0.00">
                  <c:v>179594.14868745842</c:v>
                </c:pt>
                <c:pt idx="30" formatCode="[$R-434]\ #\ ##0.00">
                  <c:v>182341.58917611098</c:v>
                </c:pt>
                <c:pt idx="31" formatCode="[$R-434]\ #\ ##0.00">
                  <c:v>185088.67862939741</c:v>
                </c:pt>
                <c:pt idx="32" formatCode="[$R-434]\ #\ ##0.00">
                  <c:v>187835.3390530528</c:v>
                </c:pt>
                <c:pt idx="33" formatCode="[$R-434]\ #\ ##0.00">
                  <c:v>190581.49246472539</c:v>
                </c:pt>
                <c:pt idx="34" formatCode="[$R-434]\ #\ ##0.00">
                  <c:v>193327.06089865344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1-4DC7-8D1D-A4BD5875B5A1}"/>
            </c:ext>
          </c:extLst>
        </c:ser>
        <c:ser>
          <c:idx val="3"/>
          <c:order val="3"/>
          <c:tx>
            <c:strRef>
              <c:f>Sheet9!$E$1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Sheet9!$A$2:$A$36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Sheet9!$E$2:$E$36</c:f>
              <c:numCache>
                <c:formatCode>General</c:formatCode>
                <c:ptCount val="35"/>
                <c:pt idx="27" formatCode="[$R-434]\ #\ ##0.00">
                  <c:v>254873.98</c:v>
                </c:pt>
                <c:pt idx="28" formatCode="[$R-434]\ #\ ##0.00">
                  <c:v>332867.92167182954</c:v>
                </c:pt>
                <c:pt idx="29" formatCode="[$R-434]\ #\ ##0.00">
                  <c:v>335616.3372886781</c:v>
                </c:pt>
                <c:pt idx="30" formatCode="[$R-434]\ #\ ##0.00">
                  <c:v>338365.0259386134</c:v>
                </c:pt>
                <c:pt idx="31" formatCode="[$R-434]\ #\ ##0.00">
                  <c:v>341114.06562391471</c:v>
                </c:pt>
                <c:pt idx="32" formatCode="[$R-434]\ #\ ##0.00">
                  <c:v>343863.53433884704</c:v>
                </c:pt>
                <c:pt idx="33" formatCode="[$R-434]\ #\ ##0.00">
                  <c:v>346613.51006576221</c:v>
                </c:pt>
                <c:pt idx="34" formatCode="[$R-434]\ #\ ##0.00">
                  <c:v>349364.07077042188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1-4DC7-8D1D-A4BD5875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887344"/>
        <c:axId val="1700898384"/>
      </c:lineChart>
      <c:catAx>
        <c:axId val="170088734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898384"/>
        <c:crosses val="autoZero"/>
        <c:auto val="1"/>
        <c:lblAlgn val="ctr"/>
        <c:lblOffset val="100"/>
        <c:noMultiLvlLbl val="0"/>
      </c:catAx>
      <c:valAx>
        <c:axId val="170089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88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Sheet10!$B$1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Sheet10!$B$2:$B$36</c:f>
              <c:numCache>
                <c:formatCode>[$R-434]\ #\ ##0.00</c:formatCode>
                <c:ptCount val="35"/>
                <c:pt idx="0">
                  <c:v>367664.46</c:v>
                </c:pt>
                <c:pt idx="1">
                  <c:v>355804.32</c:v>
                </c:pt>
                <c:pt idx="2">
                  <c:v>367664.46</c:v>
                </c:pt>
                <c:pt idx="3">
                  <c:v>355804.32</c:v>
                </c:pt>
                <c:pt idx="4">
                  <c:v>367664.46</c:v>
                </c:pt>
                <c:pt idx="5">
                  <c:v>367664.46</c:v>
                </c:pt>
                <c:pt idx="6">
                  <c:v>332084.03000000003</c:v>
                </c:pt>
                <c:pt idx="7">
                  <c:v>367664.46</c:v>
                </c:pt>
                <c:pt idx="8">
                  <c:v>355804.32</c:v>
                </c:pt>
                <c:pt idx="9">
                  <c:v>367664.46</c:v>
                </c:pt>
                <c:pt idx="10">
                  <c:v>360909.68</c:v>
                </c:pt>
                <c:pt idx="11">
                  <c:v>398345.71</c:v>
                </c:pt>
                <c:pt idx="12">
                  <c:v>488418.01</c:v>
                </c:pt>
                <c:pt idx="13">
                  <c:v>457891.88</c:v>
                </c:pt>
                <c:pt idx="14">
                  <c:v>457891.88</c:v>
                </c:pt>
                <c:pt idx="15">
                  <c:v>473154.95</c:v>
                </c:pt>
                <c:pt idx="16">
                  <c:v>457891.88</c:v>
                </c:pt>
                <c:pt idx="17">
                  <c:v>473154.95</c:v>
                </c:pt>
                <c:pt idx="18">
                  <c:v>473154.95</c:v>
                </c:pt>
                <c:pt idx="19">
                  <c:v>442628.82</c:v>
                </c:pt>
                <c:pt idx="20">
                  <c:v>473154.95</c:v>
                </c:pt>
                <c:pt idx="21">
                  <c:v>457891.88</c:v>
                </c:pt>
                <c:pt idx="22">
                  <c:v>473154.95</c:v>
                </c:pt>
                <c:pt idx="23">
                  <c:v>491109.37</c:v>
                </c:pt>
                <c:pt idx="24">
                  <c:v>509063.79</c:v>
                </c:pt>
                <c:pt idx="25">
                  <c:v>516122.44</c:v>
                </c:pt>
                <c:pt idx="26">
                  <c:v>516122.44</c:v>
                </c:pt>
                <c:pt idx="27">
                  <c:v>533326.52</c:v>
                </c:pt>
                <c:pt idx="28" formatCode="General">
                  <c:v>538067.81480822735</c:v>
                </c:pt>
                <c:pt idx="29" formatCode="General">
                  <c:v>545002.32082616666</c:v>
                </c:pt>
                <c:pt idx="30" formatCode="General">
                  <c:v>551936.82684410585</c:v>
                </c:pt>
                <c:pt idx="31" formatCode="General">
                  <c:v>558871.33286204503</c:v>
                </c:pt>
                <c:pt idx="32" formatCode="General">
                  <c:v>565805.83887998434</c:v>
                </c:pt>
                <c:pt idx="33" formatCode="General">
                  <c:v>572740.34489792353</c:v>
                </c:pt>
                <c:pt idx="34" formatCode="General">
                  <c:v>579674.85091586271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4C5C-8C0F-9A928BDD6CB8}"/>
            </c:ext>
          </c:extLst>
        </c:ser>
        <c:ser>
          <c:idx val="1"/>
          <c:order val="1"/>
          <c:tx>
            <c:strRef>
              <c:f>Sheet10!$C$1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Sheet10!$A$2:$A$36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Sheet10!$C$2:$C$36</c:f>
              <c:numCache>
                <c:formatCode>General</c:formatCode>
                <c:ptCount val="35"/>
                <c:pt idx="27" formatCode="[$R-434]\ #\ ##0.00">
                  <c:v>533326.52</c:v>
                </c:pt>
                <c:pt idx="28" formatCode="[$R-434]\ #\ ##0.00">
                  <c:v>538067.81480822735</c:v>
                </c:pt>
                <c:pt idx="29" formatCode="[$R-434]\ #\ ##0.00">
                  <c:v>545002.32082616666</c:v>
                </c:pt>
                <c:pt idx="30" formatCode="[$R-434]\ #\ ##0.00">
                  <c:v>551936.82684410585</c:v>
                </c:pt>
                <c:pt idx="31" formatCode="[$R-434]\ #\ ##0.00">
                  <c:v>558871.33286204503</c:v>
                </c:pt>
                <c:pt idx="32" formatCode="[$R-434]\ #\ ##0.00">
                  <c:v>565805.83887998434</c:v>
                </c:pt>
                <c:pt idx="33" formatCode="[$R-434]\ #\ ##0.00">
                  <c:v>572740.34489792353</c:v>
                </c:pt>
                <c:pt idx="34" formatCode="[$R-434]\ #\ ##0.00">
                  <c:v>579674.85091586271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4C5C-8C0F-9A928BDD6CB8}"/>
            </c:ext>
          </c:extLst>
        </c:ser>
        <c:ser>
          <c:idx val="2"/>
          <c:order val="2"/>
          <c:tx>
            <c:strRef>
              <c:f>Sheet10!$D$1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Sheet10!$A$2:$A$36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Sheet10!$D$2:$D$36</c:f>
              <c:numCache>
                <c:formatCode>General</c:formatCode>
                <c:ptCount val="35"/>
                <c:pt idx="27" formatCode="[$R-434]\ #\ ##0.00">
                  <c:v>533326.52</c:v>
                </c:pt>
                <c:pt idx="28" formatCode="[$R-434]\ #\ ##0.00">
                  <c:v>491741.67593851947</c:v>
                </c:pt>
                <c:pt idx="29" formatCode="[$R-434]\ #\ ##0.00">
                  <c:v>487066.83970190946</c:v>
                </c:pt>
                <c:pt idx="30" formatCode="[$R-434]\ #\ ##0.00">
                  <c:v>484333.90968315664</c:v>
                </c:pt>
                <c:pt idx="31" formatCode="[$R-434]\ #\ ##0.00">
                  <c:v>482798.87568133656</c:v>
                </c:pt>
                <c:pt idx="32" formatCode="[$R-434]\ #\ ##0.00">
                  <c:v>482097.31324583432</c:v>
                </c:pt>
                <c:pt idx="33" formatCode="[$R-434]\ #\ ##0.00">
                  <c:v>482018.49379307817</c:v>
                </c:pt>
                <c:pt idx="34" formatCode="[$R-434]\ #\ ##0.00">
                  <c:v>482427.56794161844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4C5C-8C0F-9A928BDD6CB8}"/>
            </c:ext>
          </c:extLst>
        </c:ser>
        <c:ser>
          <c:idx val="3"/>
          <c:order val="3"/>
          <c:tx>
            <c:strRef>
              <c:f>Sheet10!$E$1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Sheet10!$A$2:$A$36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Sheet10!$E$2:$E$36</c:f>
              <c:numCache>
                <c:formatCode>General</c:formatCode>
                <c:ptCount val="35"/>
                <c:pt idx="27" formatCode="[$R-434]\ #\ ##0.00">
                  <c:v>533326.52</c:v>
                </c:pt>
                <c:pt idx="28" formatCode="[$R-434]\ #\ ##0.00">
                  <c:v>584393.95367793529</c:v>
                </c:pt>
                <c:pt idx="29" formatCode="[$R-434]\ #\ ##0.00">
                  <c:v>602937.80195042386</c:v>
                </c:pt>
                <c:pt idx="30" formatCode="[$R-434]\ #\ ##0.00">
                  <c:v>619539.74400505505</c:v>
                </c:pt>
                <c:pt idx="31" formatCode="[$R-434]\ #\ ##0.00">
                  <c:v>634943.79004275356</c:v>
                </c:pt>
                <c:pt idx="32" formatCode="[$R-434]\ #\ ##0.00">
                  <c:v>649514.36451413436</c:v>
                </c:pt>
                <c:pt idx="33" formatCode="[$R-434]\ #\ ##0.00">
                  <c:v>663462.19600276893</c:v>
                </c:pt>
                <c:pt idx="34" formatCode="[$R-434]\ #\ ##0.00">
                  <c:v>676922.13389010704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40-4C5C-8C0F-9A928BDD6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220975"/>
        <c:axId val="1493242095"/>
      </c:lineChart>
      <c:catAx>
        <c:axId val="149322097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242095"/>
        <c:crosses val="autoZero"/>
        <c:auto val="1"/>
        <c:lblAlgn val="ctr"/>
        <c:lblOffset val="100"/>
        <c:noMultiLvlLbl val="0"/>
      </c:catAx>
      <c:valAx>
        <c:axId val="149324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220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Sheet13!$B$1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Sheet13!$B$2:$B$36</c:f>
              <c:numCache>
                <c:formatCode>[$R-434]\ #\ ##0.00</c:formatCode>
                <c:ptCount val="35"/>
                <c:pt idx="0">
                  <c:v>5441.5150000000003</c:v>
                </c:pt>
                <c:pt idx="1">
                  <c:v>5558.01</c:v>
                </c:pt>
                <c:pt idx="2">
                  <c:v>5378.02</c:v>
                </c:pt>
                <c:pt idx="3">
                  <c:v>6036.51</c:v>
                </c:pt>
                <c:pt idx="4">
                  <c:v>5378.02</c:v>
                </c:pt>
                <c:pt idx="5">
                  <c:v>5558.01</c:v>
                </c:pt>
                <c:pt idx="6">
                  <c:v>5558.01</c:v>
                </c:pt>
                <c:pt idx="7">
                  <c:v>5020.45</c:v>
                </c:pt>
                <c:pt idx="8">
                  <c:v>5558.01</c:v>
                </c:pt>
                <c:pt idx="9">
                  <c:v>5378.02</c:v>
                </c:pt>
                <c:pt idx="10">
                  <c:v>6459.11</c:v>
                </c:pt>
                <c:pt idx="11">
                  <c:v>6850.58</c:v>
                </c:pt>
                <c:pt idx="12">
                  <c:v>7152.71</c:v>
                </c:pt>
                <c:pt idx="13">
                  <c:v>7152.71</c:v>
                </c:pt>
                <c:pt idx="14">
                  <c:v>6921.08</c:v>
                </c:pt>
                <c:pt idx="15">
                  <c:v>7152.71</c:v>
                </c:pt>
                <c:pt idx="16">
                  <c:v>6921.08</c:v>
                </c:pt>
                <c:pt idx="17">
                  <c:v>7152.71</c:v>
                </c:pt>
                <c:pt idx="18">
                  <c:v>7152.71</c:v>
                </c:pt>
                <c:pt idx="19">
                  <c:v>6691</c:v>
                </c:pt>
                <c:pt idx="20">
                  <c:v>7152.71</c:v>
                </c:pt>
                <c:pt idx="21">
                  <c:v>6921.08</c:v>
                </c:pt>
                <c:pt idx="22">
                  <c:v>7152.71</c:v>
                </c:pt>
                <c:pt idx="23">
                  <c:v>7528.0074999999997</c:v>
                </c:pt>
                <c:pt idx="24">
                  <c:v>7903.3050000000003</c:v>
                </c:pt>
                <c:pt idx="25">
                  <c:v>8062.33</c:v>
                </c:pt>
                <c:pt idx="26">
                  <c:v>7801.24</c:v>
                </c:pt>
                <c:pt idx="27">
                  <c:v>8062.33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6-40A4-82B7-76C529A19D2C}"/>
            </c:ext>
          </c:extLst>
        </c:ser>
        <c:ser>
          <c:idx val="1"/>
          <c:order val="1"/>
          <c:tx>
            <c:strRef>
              <c:f>Sheet13!$C$1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Sheet13!$A$2:$A$36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Sheet13!$C$2:$C$36</c:f>
              <c:numCache>
                <c:formatCode>General</c:formatCode>
                <c:ptCount val="35"/>
                <c:pt idx="27" formatCode="[$R-434]\ #\ ##0.00">
                  <c:v>8062.33</c:v>
                </c:pt>
                <c:pt idx="28" formatCode="[$R-434]\ #\ ##0.00">
                  <c:v>8146.3738910395577</c:v>
                </c:pt>
                <c:pt idx="29" formatCode="[$R-434]\ #\ ##0.00">
                  <c:v>8249.3986198164839</c:v>
                </c:pt>
                <c:pt idx="30" formatCode="[$R-434]\ #\ ##0.00">
                  <c:v>8352.423348593411</c:v>
                </c:pt>
                <c:pt idx="31" formatCode="[$R-434]\ #\ ##0.00">
                  <c:v>8455.4480773703381</c:v>
                </c:pt>
                <c:pt idx="32" formatCode="[$R-434]\ #\ ##0.00">
                  <c:v>8558.4728061472633</c:v>
                </c:pt>
                <c:pt idx="33" formatCode="[$R-434]\ #\ ##0.00">
                  <c:v>8661.4975349241904</c:v>
                </c:pt>
                <c:pt idx="34" formatCode="[$R-434]\ #\ ##0.00">
                  <c:v>8764.5222637011175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6-40A4-82B7-76C529A19D2C}"/>
            </c:ext>
          </c:extLst>
        </c:ser>
        <c:ser>
          <c:idx val="2"/>
          <c:order val="2"/>
          <c:tx>
            <c:strRef>
              <c:f>Sheet13!$D$1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Sheet13!$A$2:$A$36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Sheet13!$D$2:$D$36</c:f>
              <c:numCache>
                <c:formatCode>General</c:formatCode>
                <c:ptCount val="35"/>
                <c:pt idx="27" formatCode="[$R-434]\ #\ ##0.00">
                  <c:v>8062.33</c:v>
                </c:pt>
                <c:pt idx="28" formatCode="[$R-434]\ #\ ##0.00">
                  <c:v>7444.3640886641406</c:v>
                </c:pt>
                <c:pt idx="29" formatCode="[$R-434]\ #\ ##0.00">
                  <c:v>7371.4649813375181</c:v>
                </c:pt>
                <c:pt idx="30" formatCode="[$R-434]\ #\ ##0.00">
                  <c:v>7327.9928289329055</c:v>
                </c:pt>
                <c:pt idx="31" formatCode="[$R-434]\ #\ ##0.00">
                  <c:v>7302.6731659571724</c:v>
                </c:pt>
                <c:pt idx="32" formatCode="[$R-434]\ #\ ##0.00">
                  <c:v>7289.9836341305463</c:v>
                </c:pt>
                <c:pt idx="33" formatCode="[$R-434]\ #\ ##0.00">
                  <c:v>7286.7309275804237</c:v>
                </c:pt>
                <c:pt idx="34" formatCode="[$R-434]\ #\ ##0.00">
                  <c:v>7290.8715868273002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6-40A4-82B7-76C529A19D2C}"/>
            </c:ext>
          </c:extLst>
        </c:ser>
        <c:ser>
          <c:idx val="3"/>
          <c:order val="3"/>
          <c:tx>
            <c:strRef>
              <c:f>Sheet13!$E$1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Sheet13!$A$2:$A$36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</c:numCache>
            </c:numRef>
          </c:cat>
          <c:val>
            <c:numRef>
              <c:f>Sheet13!$E$2:$E$36</c:f>
              <c:numCache>
                <c:formatCode>General</c:formatCode>
                <c:ptCount val="35"/>
                <c:pt idx="27" formatCode="[$R-434]\ #\ ##0.00">
                  <c:v>8062.33</c:v>
                </c:pt>
                <c:pt idx="28" formatCode="[$R-434]\ #\ ##0.00">
                  <c:v>8848.3836934149749</c:v>
                </c:pt>
                <c:pt idx="29" formatCode="[$R-434]\ #\ ##0.00">
                  <c:v>9127.3322582954497</c:v>
                </c:pt>
                <c:pt idx="30" formatCode="[$R-434]\ #\ ##0.00">
                  <c:v>9376.8538682539165</c:v>
                </c:pt>
                <c:pt idx="31" formatCode="[$R-434]\ #\ ##0.00">
                  <c:v>9608.2229887835038</c:v>
                </c:pt>
                <c:pt idx="32" formatCode="[$R-434]\ #\ ##0.00">
                  <c:v>9826.9619781639813</c:v>
                </c:pt>
                <c:pt idx="33" formatCode="[$R-434]\ #\ ##0.00">
                  <c:v>10036.264142267957</c:v>
                </c:pt>
                <c:pt idx="34" formatCode="[$R-434]\ #\ ##0.00">
                  <c:v>10238.172940574934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6-40A4-82B7-76C529A19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1493231"/>
        <c:axId val="1481491791"/>
      </c:lineChart>
      <c:catAx>
        <c:axId val="1481493231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491791"/>
        <c:crosses val="autoZero"/>
        <c:auto val="1"/>
        <c:lblAlgn val="ctr"/>
        <c:lblOffset val="100"/>
        <c:noMultiLvlLbl val="0"/>
      </c:catAx>
      <c:valAx>
        <c:axId val="148149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49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Sheet7!$B$2:$B$36</c:f>
              <c:numCache>
                <c:formatCode>[$R-434]\ #\ ##0.00</c:formatCode>
                <c:ptCount val="35"/>
                <c:pt idx="0">
                  <c:v>1862030.0550000002</c:v>
                </c:pt>
                <c:pt idx="1">
                  <c:v>1292769.57</c:v>
                </c:pt>
                <c:pt idx="2">
                  <c:v>1367633.36</c:v>
                </c:pt>
                <c:pt idx="3">
                  <c:v>1323999.3899999999</c:v>
                </c:pt>
                <c:pt idx="4">
                  <c:v>1337845.1200000001</c:v>
                </c:pt>
                <c:pt idx="5">
                  <c:v>1370942.86</c:v>
                </c:pt>
                <c:pt idx="6">
                  <c:v>1197886.95</c:v>
                </c:pt>
                <c:pt idx="7">
                  <c:v>1325097.45</c:v>
                </c:pt>
                <c:pt idx="8">
                  <c:v>1203221.95</c:v>
                </c:pt>
                <c:pt idx="9">
                  <c:v>1614363.65</c:v>
                </c:pt>
                <c:pt idx="10">
                  <c:v>1701108.08</c:v>
                </c:pt>
                <c:pt idx="11">
                  <c:v>2040526.34</c:v>
                </c:pt>
                <c:pt idx="12">
                  <c:v>2169130.79</c:v>
                </c:pt>
                <c:pt idx="13">
                  <c:v>1814162.73</c:v>
                </c:pt>
                <c:pt idx="14">
                  <c:v>1508022.87</c:v>
                </c:pt>
                <c:pt idx="15">
                  <c:v>1607158.78</c:v>
                </c:pt>
                <c:pt idx="16">
                  <c:v>1491775.71</c:v>
                </c:pt>
                <c:pt idx="17">
                  <c:v>1670179.93</c:v>
                </c:pt>
                <c:pt idx="18">
                  <c:v>1528943.38</c:v>
                </c:pt>
                <c:pt idx="19">
                  <c:v>1489208.27</c:v>
                </c:pt>
                <c:pt idx="20">
                  <c:v>1566718.19</c:v>
                </c:pt>
                <c:pt idx="21">
                  <c:v>1591319.64</c:v>
                </c:pt>
                <c:pt idx="22">
                  <c:v>2097673.12</c:v>
                </c:pt>
                <c:pt idx="23">
                  <c:v>2583645.4500000002</c:v>
                </c:pt>
                <c:pt idx="24">
                  <c:v>2951042.5</c:v>
                </c:pt>
                <c:pt idx="25">
                  <c:v>2385073.5699999998</c:v>
                </c:pt>
                <c:pt idx="26">
                  <c:v>1765172.1</c:v>
                </c:pt>
                <c:pt idx="27">
                  <c:v>1873528.83</c:v>
                </c:pt>
                <c:pt idx="28">
                  <c:v>1905220.1983916874</c:v>
                </c:pt>
                <c:pt idx="29">
                  <c:v>1935921.2115211347</c:v>
                </c:pt>
                <c:pt idx="30">
                  <c:v>1966728.3341429648</c:v>
                </c:pt>
                <c:pt idx="31">
                  <c:v>2000294.3035667499</c:v>
                </c:pt>
                <c:pt idx="32">
                  <c:v>2031127.3640644958</c:v>
                </c:pt>
                <c:pt idx="33">
                  <c:v>2062686.6850878845</c:v>
                </c:pt>
                <c:pt idx="34">
                  <c:v>2093552.7574277052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B-476B-B20B-B818BA650634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Sheet7!$A$2:$A$36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Sheet7!$C$2:$C$36</c:f>
              <c:numCache>
                <c:formatCode>General</c:formatCode>
                <c:ptCount val="35"/>
                <c:pt idx="27" formatCode="[$R-434]\ #\ ##0.00">
                  <c:v>1873528.83</c:v>
                </c:pt>
                <c:pt idx="28" formatCode="[$R-434]\ #\ ##0.00">
                  <c:v>1905220.1983916874</c:v>
                </c:pt>
                <c:pt idx="29" formatCode="[$R-434]\ #\ ##0.00">
                  <c:v>1935921.2115211347</c:v>
                </c:pt>
                <c:pt idx="30" formatCode="[$R-434]\ #\ ##0.00">
                  <c:v>1966728.3341429648</c:v>
                </c:pt>
                <c:pt idx="31" formatCode="[$R-434]\ #\ ##0.00">
                  <c:v>2000294.3035667499</c:v>
                </c:pt>
                <c:pt idx="32" formatCode="[$R-434]\ #\ ##0.00">
                  <c:v>2031127.3640644958</c:v>
                </c:pt>
                <c:pt idx="33" formatCode="[$R-434]\ #\ ##0.00">
                  <c:v>2062686.6850878845</c:v>
                </c:pt>
                <c:pt idx="34" formatCode="[$R-434]\ #\ ##0.00">
                  <c:v>2093552.7574277052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B-476B-B20B-B818BA650634}"/>
            </c:ext>
          </c:extLst>
        </c:ser>
        <c:ser>
          <c:idx val="2"/>
          <c:order val="2"/>
          <c:tx>
            <c:strRef>
              <c:f>Sheet7!$D$1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Sheet7!$A$2:$A$36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Sheet7!$D$2:$D$36</c:f>
              <c:numCache>
                <c:formatCode>General</c:formatCode>
                <c:ptCount val="35"/>
                <c:pt idx="27" formatCode="[$R-434]\ #\ ##0.00">
                  <c:v>1873528.83</c:v>
                </c:pt>
                <c:pt idx="28" formatCode="[$R-434]\ #\ ##0.00">
                  <c:v>1246200.2109340006</c:v>
                </c:pt>
                <c:pt idx="29" formatCode="[$R-434]\ #\ ##0.00">
                  <c:v>1011662.1040552153</c:v>
                </c:pt>
                <c:pt idx="30" formatCode="[$R-434]\ #\ ##0.00">
                  <c:v>836905.0134982192</c:v>
                </c:pt>
                <c:pt idx="31" formatCode="[$R-434]\ #\ ##0.00">
                  <c:v>682130.37949260604</c:v>
                </c:pt>
                <c:pt idx="32" formatCode="[$R-434]\ #\ ##0.00">
                  <c:v>560776.43982807198</c:v>
                </c:pt>
                <c:pt idx="33" formatCode="[$R-434]\ #\ ##0.00">
                  <c:v>451106.14555085497</c:v>
                </c:pt>
                <c:pt idx="34" formatCode="[$R-434]\ #\ ##0.00">
                  <c:v>354660.19007720239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B-476B-B20B-B818BA650634}"/>
            </c:ext>
          </c:extLst>
        </c:ser>
        <c:ser>
          <c:idx val="3"/>
          <c:order val="3"/>
          <c:tx>
            <c:strRef>
              <c:f>Sheet7!$E$1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Sheet7!$A$2:$A$36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Sheet7!$E$2:$E$36</c:f>
              <c:numCache>
                <c:formatCode>General</c:formatCode>
                <c:ptCount val="35"/>
                <c:pt idx="27" formatCode="[$R-434]\ #\ ##0.00">
                  <c:v>1873528.83</c:v>
                </c:pt>
                <c:pt idx="28" formatCode="[$R-434]\ #\ ##0.00">
                  <c:v>2564240.1858493742</c:v>
                </c:pt>
                <c:pt idx="29" formatCode="[$R-434]\ #\ ##0.00">
                  <c:v>2860180.3189870543</c:v>
                </c:pt>
                <c:pt idx="30" formatCode="[$R-434]\ #\ ##0.00">
                  <c:v>3096551.6547877104</c:v>
                </c:pt>
                <c:pt idx="31" formatCode="[$R-434]\ #\ ##0.00">
                  <c:v>3318458.2276408938</c:v>
                </c:pt>
                <c:pt idx="32" formatCode="[$R-434]\ #\ ##0.00">
                  <c:v>3501478.2883009193</c:v>
                </c:pt>
                <c:pt idx="33" formatCode="[$R-434]\ #\ ##0.00">
                  <c:v>3674267.2246249141</c:v>
                </c:pt>
                <c:pt idx="34" formatCode="[$R-434]\ #\ ##0.00">
                  <c:v>3832445.324778208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B-476B-B20B-B818BA650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342096"/>
        <c:axId val="1456342576"/>
      </c:lineChart>
      <c:catAx>
        <c:axId val="145634209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342576"/>
        <c:crosses val="autoZero"/>
        <c:auto val="1"/>
        <c:lblAlgn val="ctr"/>
        <c:lblOffset val="100"/>
        <c:noMultiLvlLbl val="0"/>
      </c:catAx>
      <c:valAx>
        <c:axId val="145634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34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Sheet11!$B$1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Sheet11!$B$2:$B$36</c:f>
              <c:numCache>
                <c:formatCode>[$R-434]\ #\ ##0.00</c:formatCode>
                <c:ptCount val="35"/>
                <c:pt idx="0">
                  <c:v>180443.715</c:v>
                </c:pt>
                <c:pt idx="1">
                  <c:v>123004.43</c:v>
                </c:pt>
                <c:pt idx="2">
                  <c:v>120148.05</c:v>
                </c:pt>
                <c:pt idx="3">
                  <c:v>118978.53</c:v>
                </c:pt>
                <c:pt idx="4">
                  <c:v>138663.49</c:v>
                </c:pt>
                <c:pt idx="5">
                  <c:v>125906.76</c:v>
                </c:pt>
                <c:pt idx="6">
                  <c:v>116840.05</c:v>
                </c:pt>
                <c:pt idx="7">
                  <c:v>132329.51999999999</c:v>
                </c:pt>
                <c:pt idx="8">
                  <c:v>130717.9</c:v>
                </c:pt>
                <c:pt idx="9">
                  <c:v>162216.93</c:v>
                </c:pt>
                <c:pt idx="10">
                  <c:v>113345.57</c:v>
                </c:pt>
                <c:pt idx="11">
                  <c:v>125582.37</c:v>
                </c:pt>
                <c:pt idx="12">
                  <c:v>136449.21</c:v>
                </c:pt>
                <c:pt idx="13">
                  <c:v>111098.58</c:v>
                </c:pt>
                <c:pt idx="14">
                  <c:v>90769.68</c:v>
                </c:pt>
                <c:pt idx="15">
                  <c:v>93090.97</c:v>
                </c:pt>
                <c:pt idx="16">
                  <c:v>84292.02</c:v>
                </c:pt>
                <c:pt idx="17">
                  <c:v>95178.14</c:v>
                </c:pt>
                <c:pt idx="18">
                  <c:v>94759.56</c:v>
                </c:pt>
                <c:pt idx="19">
                  <c:v>89932.05</c:v>
                </c:pt>
                <c:pt idx="20">
                  <c:v>99152.47</c:v>
                </c:pt>
                <c:pt idx="21">
                  <c:v>94527.360000000001</c:v>
                </c:pt>
                <c:pt idx="22">
                  <c:v>129020.13</c:v>
                </c:pt>
                <c:pt idx="23">
                  <c:v>150836.26</c:v>
                </c:pt>
                <c:pt idx="24">
                  <c:v>167575.67000000001</c:v>
                </c:pt>
                <c:pt idx="25">
                  <c:v>130918.16</c:v>
                </c:pt>
                <c:pt idx="26">
                  <c:v>105398.82</c:v>
                </c:pt>
                <c:pt idx="27">
                  <c:v>105847.58</c:v>
                </c:pt>
                <c:pt idx="28">
                  <c:v>157858.28130849914</c:v>
                </c:pt>
                <c:pt idx="29">
                  <c:v>163203.18219318221</c:v>
                </c:pt>
                <c:pt idx="30">
                  <c:v>167990.16322952099</c:v>
                </c:pt>
                <c:pt idx="31">
                  <c:v>172712.21646950347</c:v>
                </c:pt>
                <c:pt idx="32">
                  <c:v>176692.04475903691</c:v>
                </c:pt>
                <c:pt idx="33">
                  <c:v>180478.78216758498</c:v>
                </c:pt>
                <c:pt idx="34">
                  <c:v>183947.52359871805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5-42CB-B947-A83A2EE94CF3}"/>
            </c:ext>
          </c:extLst>
        </c:ser>
        <c:ser>
          <c:idx val="1"/>
          <c:order val="1"/>
          <c:tx>
            <c:strRef>
              <c:f>Sheet11!$C$1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Sheet11!$A$2:$A$36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Sheet11!$C$2:$C$36</c:f>
              <c:numCache>
                <c:formatCode>General</c:formatCode>
                <c:ptCount val="35"/>
                <c:pt idx="27" formatCode="[$R-434]\ #\ ##0.00">
                  <c:v>105847.58</c:v>
                </c:pt>
                <c:pt idx="28" formatCode="[$R-434]\ #\ ##0.00">
                  <c:v>104941.44342779455</c:v>
                </c:pt>
                <c:pt idx="29" formatCode="[$R-434]\ #\ ##0.00">
                  <c:v>104063.62362347053</c:v>
                </c:pt>
                <c:pt idx="30" formatCode="[$R-434]\ #\ ##0.00">
                  <c:v>103182.76987973064</c:v>
                </c:pt>
                <c:pt idx="31" formatCode="[$R-434]\ #\ ##0.00">
                  <c:v>102223.03371117821</c:v>
                </c:pt>
                <c:pt idx="32" formatCode="[$R-434]\ #\ ##0.00">
                  <c:v>101341.43833780334</c:v>
                </c:pt>
                <c:pt idx="33" formatCode="[$R-434]\ #\ ##0.00">
                  <c:v>100439.07733464874</c:v>
                </c:pt>
                <c:pt idx="34" formatCode="[$R-434]\ #\ ##0.00">
                  <c:v>99556.538069011149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5-42CB-B947-A83A2EE94CF3}"/>
            </c:ext>
          </c:extLst>
        </c:ser>
        <c:ser>
          <c:idx val="2"/>
          <c:order val="2"/>
          <c:tx>
            <c:strRef>
              <c:f>Sheet11!$D$1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Sheet11!$A$2:$A$36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Sheet11!$D$2:$D$36</c:f>
              <c:numCache>
                <c:formatCode>General</c:formatCode>
                <c:ptCount val="35"/>
                <c:pt idx="27" formatCode="[$R-434]\ #\ ##0.00">
                  <c:v>105847.58</c:v>
                </c:pt>
                <c:pt idx="28" formatCode="[$R-434]\ #\ ##0.00">
                  <c:v>52024.605547089966</c:v>
                </c:pt>
                <c:pt idx="29" formatCode="[$R-434]\ #\ ##0.00">
                  <c:v>44924.065053758859</c:v>
                </c:pt>
                <c:pt idx="30" formatCode="[$R-434]\ #\ ##0.00">
                  <c:v>38375.376529940295</c:v>
                </c:pt>
                <c:pt idx="31" formatCode="[$R-434]\ #\ ##0.00">
                  <c:v>31733.850952852954</c:v>
                </c:pt>
                <c:pt idx="32" formatCode="[$R-434]\ #\ ##0.00">
                  <c:v>25990.831916569776</c:v>
                </c:pt>
                <c:pt idx="33" formatCode="[$R-434]\ #\ ##0.00">
                  <c:v>20399.372501712511</c:v>
                </c:pt>
                <c:pt idx="34" formatCode="[$R-434]\ #\ ##0.00">
                  <c:v>15165.552539304263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5-42CB-B947-A83A2EE94CF3}"/>
            </c:ext>
          </c:extLst>
        </c:ser>
        <c:ser>
          <c:idx val="3"/>
          <c:order val="3"/>
          <c:tx>
            <c:strRef>
              <c:f>Sheet11!$E$1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Sheet11!$A$2:$A$36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Sheet11!$E$2:$E$36</c:f>
              <c:numCache>
                <c:formatCode>General</c:formatCode>
                <c:ptCount val="35"/>
                <c:pt idx="27" formatCode="[$R-434]\ #\ ##0.00">
                  <c:v>105847.58</c:v>
                </c:pt>
                <c:pt idx="28" formatCode="[$R-434]\ #\ ##0.00">
                  <c:v>157858.28130849914</c:v>
                </c:pt>
                <c:pt idx="29" formatCode="[$R-434]\ #\ ##0.00">
                  <c:v>163203.18219318221</c:v>
                </c:pt>
                <c:pt idx="30" formatCode="[$R-434]\ #\ ##0.00">
                  <c:v>167990.16322952099</c:v>
                </c:pt>
                <c:pt idx="31" formatCode="[$R-434]\ #\ ##0.00">
                  <c:v>172712.21646950347</c:v>
                </c:pt>
                <c:pt idx="32" formatCode="[$R-434]\ #\ ##0.00">
                  <c:v>176692.04475903691</c:v>
                </c:pt>
                <c:pt idx="33" formatCode="[$R-434]\ #\ ##0.00">
                  <c:v>180478.78216758498</c:v>
                </c:pt>
                <c:pt idx="34" formatCode="[$R-434]\ #\ ##0.00">
                  <c:v>183947.52359871805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15-42CB-B947-A83A2EE9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884656"/>
        <c:axId val="1377885616"/>
      </c:lineChart>
      <c:catAx>
        <c:axId val="137788465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885616"/>
        <c:crosses val="autoZero"/>
        <c:auto val="1"/>
        <c:lblAlgn val="ctr"/>
        <c:lblOffset val="100"/>
        <c:noMultiLvlLbl val="0"/>
      </c:catAx>
      <c:valAx>
        <c:axId val="137788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88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Sheet12!$B$1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Sheet12!$B$2:$B$36</c:f>
              <c:numCache>
                <c:formatCode>[$R-434]\ #\ ##0.00</c:formatCode>
                <c:ptCount val="35"/>
                <c:pt idx="0">
                  <c:v>401107.68</c:v>
                </c:pt>
                <c:pt idx="1">
                  <c:v>378209.18</c:v>
                </c:pt>
                <c:pt idx="2">
                  <c:v>367856.03</c:v>
                </c:pt>
                <c:pt idx="3">
                  <c:v>363672.71</c:v>
                </c:pt>
                <c:pt idx="4">
                  <c:v>376025.65</c:v>
                </c:pt>
                <c:pt idx="5">
                  <c:v>385650.5</c:v>
                </c:pt>
                <c:pt idx="6">
                  <c:v>343665.27</c:v>
                </c:pt>
                <c:pt idx="7">
                  <c:v>390565.64</c:v>
                </c:pt>
                <c:pt idx="8">
                  <c:v>400085.86</c:v>
                </c:pt>
                <c:pt idx="9">
                  <c:v>589151.01</c:v>
                </c:pt>
                <c:pt idx="10">
                  <c:v>629495.80000000005</c:v>
                </c:pt>
                <c:pt idx="11">
                  <c:v>719682.76</c:v>
                </c:pt>
                <c:pt idx="12">
                  <c:v>753683.85</c:v>
                </c:pt>
                <c:pt idx="13">
                  <c:v>593811.19999999995</c:v>
                </c:pt>
                <c:pt idx="14">
                  <c:v>442264.63</c:v>
                </c:pt>
                <c:pt idx="15">
                  <c:v>434686.12</c:v>
                </c:pt>
                <c:pt idx="16">
                  <c:v>393899.63</c:v>
                </c:pt>
                <c:pt idx="17">
                  <c:v>428519.49</c:v>
                </c:pt>
                <c:pt idx="18">
                  <c:v>441367.84</c:v>
                </c:pt>
                <c:pt idx="19">
                  <c:v>401277.77</c:v>
                </c:pt>
                <c:pt idx="20">
                  <c:v>459717.58</c:v>
                </c:pt>
                <c:pt idx="21">
                  <c:v>469291.57</c:v>
                </c:pt>
                <c:pt idx="22">
                  <c:v>678085.44</c:v>
                </c:pt>
                <c:pt idx="23">
                  <c:v>831567.22</c:v>
                </c:pt>
                <c:pt idx="24">
                  <c:v>831567.22</c:v>
                </c:pt>
                <c:pt idx="25">
                  <c:v>976963.01</c:v>
                </c:pt>
                <c:pt idx="26">
                  <c:v>525094.05000000005</c:v>
                </c:pt>
                <c:pt idx="27">
                  <c:v>509659.32</c:v>
                </c:pt>
                <c:pt idx="28">
                  <c:v>521351.20698836423</c:v>
                </c:pt>
                <c:pt idx="29">
                  <c:v>532677.72250834259</c:v>
                </c:pt>
                <c:pt idx="30">
                  <c:v>544043.38497136184</c:v>
                </c:pt>
                <c:pt idx="31">
                  <c:v>556426.86795345787</c:v>
                </c:pt>
                <c:pt idx="32">
                  <c:v>567802.09966922074</c:v>
                </c:pt>
                <c:pt idx="33">
                  <c:v>579445.27046180051</c:v>
                </c:pt>
                <c:pt idx="34">
                  <c:v>590832.68122650951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9-40DC-97E3-A1A5CA54E43C}"/>
            </c:ext>
          </c:extLst>
        </c:ser>
        <c:ser>
          <c:idx val="1"/>
          <c:order val="1"/>
          <c:tx>
            <c:strRef>
              <c:f>Sheet12!$C$1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Sheet12!$C$2:$C$36</c:f>
              <c:numCache>
                <c:formatCode>General</c:formatCode>
                <c:ptCount val="35"/>
                <c:pt idx="27" formatCode="[$R-434]\ #\ ##0.00">
                  <c:v>509659.32</c:v>
                </c:pt>
                <c:pt idx="28" formatCode="[$R-434]\ #\ ##0.00">
                  <c:v>521351.20698836423</c:v>
                </c:pt>
                <c:pt idx="29" formatCode="[$R-434]\ #\ ##0.00">
                  <c:v>532677.72250834259</c:v>
                </c:pt>
                <c:pt idx="30" formatCode="[$R-434]\ #\ ##0.00">
                  <c:v>544043.38497136184</c:v>
                </c:pt>
                <c:pt idx="31" formatCode="[$R-434]\ #\ ##0.00">
                  <c:v>556426.86795345787</c:v>
                </c:pt>
                <c:pt idx="32" formatCode="[$R-434]\ #\ ##0.00">
                  <c:v>567802.09966922074</c:v>
                </c:pt>
                <c:pt idx="33" formatCode="[$R-434]\ #\ ##0.00">
                  <c:v>579445.27046180051</c:v>
                </c:pt>
                <c:pt idx="34" formatCode="[$R-434]\ #\ ##0.00">
                  <c:v>590832.68122650951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9-40DC-97E3-A1A5CA54E43C}"/>
            </c:ext>
          </c:extLst>
        </c:ser>
        <c:ser>
          <c:idx val="2"/>
          <c:order val="2"/>
          <c:tx>
            <c:strRef>
              <c:f>Sheet12!$D$1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Sheet12!$D$2:$D$36</c:f>
              <c:numCache>
                <c:formatCode>General</c:formatCode>
                <c:ptCount val="35"/>
                <c:pt idx="27" formatCode="[$R-434]\ #\ ##0.00">
                  <c:v>509659.32</c:v>
                </c:pt>
                <c:pt idx="28" formatCode="[$R-434]\ #\ ##0.00">
                  <c:v>253048.29422676301</c:v>
                </c:pt>
                <c:pt idx="29" formatCode="[$R-434]\ #\ ##0.00">
                  <c:v>198215.7008479606</c:v>
                </c:pt>
                <c:pt idx="30" formatCode="[$R-434]\ #\ ##0.00">
                  <c:v>154186.93255407189</c:v>
                </c:pt>
                <c:pt idx="31" formatCode="[$R-434]\ #\ ##0.00">
                  <c:v>113899.66343518393</c:v>
                </c:pt>
                <c:pt idx="32" formatCode="[$R-434]\ #\ ##0.00">
                  <c:v>81786.046292353829</c:v>
                </c:pt>
                <c:pt idx="33" formatCode="[$R-434]\ #\ ##0.00">
                  <c:v>52514.16861313337</c:v>
                </c:pt>
                <c:pt idx="34" formatCode="[$R-434]\ #\ ##0.00">
                  <c:v>26652.613506119582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9-40DC-97E3-A1A5CA54E43C}"/>
            </c:ext>
          </c:extLst>
        </c:ser>
        <c:ser>
          <c:idx val="3"/>
          <c:order val="3"/>
          <c:tx>
            <c:strRef>
              <c:f>Sheet12!$E$1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Sheet12!$E$2:$E$36</c:f>
              <c:numCache>
                <c:formatCode>General</c:formatCode>
                <c:ptCount val="35"/>
                <c:pt idx="27" formatCode="[$R-434]\ #\ ##0.00">
                  <c:v>509659.32</c:v>
                </c:pt>
                <c:pt idx="28" formatCode="[$R-434]\ #\ ##0.00">
                  <c:v>789654.11974996538</c:v>
                </c:pt>
                <c:pt idx="29" formatCode="[$R-434]\ #\ ##0.00">
                  <c:v>867139.74416872463</c:v>
                </c:pt>
                <c:pt idx="30" formatCode="[$R-434]\ #\ ##0.00">
                  <c:v>933899.83738865179</c:v>
                </c:pt>
                <c:pt idx="31" formatCode="[$R-434]\ #\ ##0.00">
                  <c:v>998954.07247173181</c:v>
                </c:pt>
                <c:pt idx="32" formatCode="[$R-434]\ #\ ##0.00">
                  <c:v>1053818.1530460876</c:v>
                </c:pt>
                <c:pt idx="33" formatCode="[$R-434]\ #\ ##0.00">
                  <c:v>1106376.3723104675</c:v>
                </c:pt>
                <c:pt idx="34" formatCode="[$R-434]\ #\ ##0.00">
                  <c:v>1155012.7489468995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79-40DC-97E3-A1A5CA54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887040"/>
        <c:axId val="1462886080"/>
      </c:lineChart>
      <c:catAx>
        <c:axId val="146288704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86080"/>
        <c:crosses val="autoZero"/>
        <c:auto val="1"/>
        <c:lblAlgn val="ctr"/>
        <c:lblOffset val="100"/>
        <c:noMultiLvlLbl val="0"/>
      </c:catAx>
      <c:valAx>
        <c:axId val="14628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8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BotsProjec!$B$1</c:f>
              <c:strCache>
                <c:ptCount val="1"/>
                <c:pt idx="0">
                  <c:v>Megaflex - Botshabelo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BotsProjec!$B$2:$B$24</c:f>
              <c:numCache>
                <c:formatCode>[$R-434]\ #\ ##0.00</c:formatCode>
                <c:ptCount val="23"/>
                <c:pt idx="0">
                  <c:v>27509815.395</c:v>
                </c:pt>
                <c:pt idx="1">
                  <c:v>17411055.780000001</c:v>
                </c:pt>
                <c:pt idx="2">
                  <c:v>17618615.640000001</c:v>
                </c:pt>
                <c:pt idx="3">
                  <c:v>17173310.559999999</c:v>
                </c:pt>
                <c:pt idx="4">
                  <c:v>16610246.67</c:v>
                </c:pt>
                <c:pt idx="5">
                  <c:v>17282716.800000001</c:v>
                </c:pt>
                <c:pt idx="6">
                  <c:v>16263853.439999999</c:v>
                </c:pt>
                <c:pt idx="7">
                  <c:v>18027266.600000001</c:v>
                </c:pt>
                <c:pt idx="8">
                  <c:v>16855917.859999999</c:v>
                </c:pt>
                <c:pt idx="9">
                  <c:v>24561691.23</c:v>
                </c:pt>
                <c:pt idx="10">
                  <c:v>30970724.600000001</c:v>
                </c:pt>
                <c:pt idx="11">
                  <c:v>34510758.18</c:v>
                </c:pt>
                <c:pt idx="12">
                  <c:v>36859941.710000001</c:v>
                </c:pt>
                <c:pt idx="13">
                  <c:v>30015297.140000001</c:v>
                </c:pt>
                <c:pt idx="14">
                  <c:v>20935898.120000001</c:v>
                </c:pt>
                <c:pt idx="15">
                  <c:v>21463368.100000001</c:v>
                </c:pt>
                <c:pt idx="16">
                  <c:v>20804855.030000001</c:v>
                </c:pt>
                <c:pt idx="17">
                  <c:v>19649773.460000001</c:v>
                </c:pt>
                <c:pt idx="18">
                  <c:v>21436355.960000001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8-42E3-A00C-CF0B6A573938}"/>
            </c:ext>
          </c:extLst>
        </c:ser>
        <c:ser>
          <c:idx val="1"/>
          <c:order val="1"/>
          <c:tx>
            <c:strRef>
              <c:f>BotsProjec!$C$1</c:f>
              <c:strCache>
                <c:ptCount val="1"/>
                <c:pt idx="0">
                  <c:v>Forecast(Megaflex - Botshabelo)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BotsProjec!$A$2:$A$24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BotsProjec!$C$2:$C$24</c:f>
              <c:numCache>
                <c:formatCode>General</c:formatCode>
                <c:ptCount val="23"/>
                <c:pt idx="18" formatCode="[$R-434]\ #\ ##0.00">
                  <c:v>21436355.960000001</c:v>
                </c:pt>
                <c:pt idx="19" formatCode="[$R-434]\ #\ ##0.00">
                  <c:v>19464712.331215799</c:v>
                </c:pt>
                <c:pt idx="20" formatCode="[$R-434]\ #\ ##0.00">
                  <c:v>18999990.611791998</c:v>
                </c:pt>
                <c:pt idx="21" formatCode="[$R-434]\ #\ ##0.00">
                  <c:v>27685938.354456</c:v>
                </c:pt>
                <c:pt idx="22" formatCode="[$R-434]\ #\ ##0.00">
                  <c:v>34910200.76912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8-42E3-A00C-CF0B6A573938}"/>
            </c:ext>
          </c:extLst>
        </c:ser>
        <c:ser>
          <c:idx val="2"/>
          <c:order val="2"/>
          <c:tx>
            <c:strRef>
              <c:f>BotsProjec!$D$1</c:f>
              <c:strCache>
                <c:ptCount val="1"/>
                <c:pt idx="0">
                  <c:v>Lower Confidence Bound(Megaflex - Botshabelo)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BotsProjec!$A$2:$A$24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BotsProjec!$D$2:$D$24</c:f>
              <c:numCache>
                <c:formatCode>General</c:formatCode>
                <c:ptCount val="23"/>
                <c:pt idx="18" formatCode="[$R-434]\ #\ ##0.00">
                  <c:v>21436355.960000001</c:v>
                </c:pt>
                <c:pt idx="19" formatCode="[$R-434]\ #\ ##0.00">
                  <c:v>6301849.9798598681</c:v>
                </c:pt>
                <c:pt idx="20" formatCode="[$R-434]\ #\ ##0.00">
                  <c:v>5429377.6478678267</c:v>
                </c:pt>
                <c:pt idx="21" formatCode="[$R-434]\ #\ ##0.00">
                  <c:v>13705304.719397457</c:v>
                </c:pt>
                <c:pt idx="22" formatCode="[$R-434]\ #\ ##0.00">
                  <c:v>20538427.709164176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8-42E3-A00C-CF0B6A573938}"/>
            </c:ext>
          </c:extLst>
        </c:ser>
        <c:ser>
          <c:idx val="3"/>
          <c:order val="3"/>
          <c:tx>
            <c:strRef>
              <c:f>BotsProjec!$E$1</c:f>
              <c:strCache>
                <c:ptCount val="1"/>
                <c:pt idx="0">
                  <c:v>Upper Confidence Bound(Megaflex - Botshabelo)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BotsProjec!$A$2:$A$24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BotsProjec!$E$2:$E$24</c:f>
              <c:numCache>
                <c:formatCode>General</c:formatCode>
                <c:ptCount val="23"/>
                <c:pt idx="18" formatCode="[$R-434]\ #\ ##0.00">
                  <c:v>21436355.960000001</c:v>
                </c:pt>
                <c:pt idx="19" formatCode="[$R-434]\ #\ ##0.00">
                  <c:v>32627574.682571732</c:v>
                </c:pt>
                <c:pt idx="20" formatCode="[$R-434]\ #\ ##0.00">
                  <c:v>32570603.575716168</c:v>
                </c:pt>
                <c:pt idx="21" formatCode="[$R-434]\ #\ ##0.00">
                  <c:v>41666571.989514545</c:v>
                </c:pt>
                <c:pt idx="22" formatCode="[$R-434]\ #\ ##0.00">
                  <c:v>49281973.829075828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68-42E3-A00C-CF0B6A57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066224"/>
        <c:axId val="58801999"/>
      </c:lineChart>
      <c:catAx>
        <c:axId val="7030662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1999"/>
        <c:crosses val="autoZero"/>
        <c:auto val="1"/>
        <c:lblAlgn val="ctr"/>
        <c:lblOffset val="100"/>
        <c:noMultiLvlLbl val="0"/>
      </c:catAx>
      <c:valAx>
        <c:axId val="5880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06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Sheet14!$B$1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Sheet14!$B$2:$B$36</c:f>
              <c:numCache>
                <c:formatCode>[$R-434]\ #\ ##0.00</c:formatCode>
                <c:ptCount val="35"/>
                <c:pt idx="0">
                  <c:v>208343291.19999999</c:v>
                </c:pt>
                <c:pt idx="1">
                  <c:v>120023709.54000001</c:v>
                </c:pt>
                <c:pt idx="2">
                  <c:v>120111620.78</c:v>
                </c:pt>
                <c:pt idx="3">
                  <c:v>118568754.98999999</c:v>
                </c:pt>
                <c:pt idx="4">
                  <c:v>109712490.7</c:v>
                </c:pt>
                <c:pt idx="5">
                  <c:v>119865906.34</c:v>
                </c:pt>
                <c:pt idx="6">
                  <c:v>112238319.48</c:v>
                </c:pt>
                <c:pt idx="7">
                  <c:v>122813349.93000001</c:v>
                </c:pt>
                <c:pt idx="8">
                  <c:v>117572062.88</c:v>
                </c:pt>
                <c:pt idx="9">
                  <c:v>274666188.64999998</c:v>
                </c:pt>
                <c:pt idx="10">
                  <c:v>260567700.24000001</c:v>
                </c:pt>
                <c:pt idx="11">
                  <c:v>277013750.64999998</c:v>
                </c:pt>
                <c:pt idx="12">
                  <c:v>263433752.09</c:v>
                </c:pt>
                <c:pt idx="13">
                  <c:v>169733900.40000001</c:v>
                </c:pt>
                <c:pt idx="14">
                  <c:v>145463723.53999999</c:v>
                </c:pt>
                <c:pt idx="15">
                  <c:v>145818937.69</c:v>
                </c:pt>
                <c:pt idx="16">
                  <c:v>134855203.44</c:v>
                </c:pt>
                <c:pt idx="17">
                  <c:v>136886068.88</c:v>
                </c:pt>
                <c:pt idx="18">
                  <c:v>148929316.33000001</c:v>
                </c:pt>
                <c:pt idx="19">
                  <c:v>142234975.59</c:v>
                </c:pt>
                <c:pt idx="20">
                  <c:v>147726850.22</c:v>
                </c:pt>
                <c:pt idx="21">
                  <c:v>146700542.5</c:v>
                </c:pt>
                <c:pt idx="22">
                  <c:v>261527970.63999999</c:v>
                </c:pt>
                <c:pt idx="23">
                  <c:v>308892054.16000003</c:v>
                </c:pt>
                <c:pt idx="24">
                  <c:v>296927274.94999999</c:v>
                </c:pt>
                <c:pt idx="25">
                  <c:v>187906578.78</c:v>
                </c:pt>
                <c:pt idx="26">
                  <c:v>158400595.19</c:v>
                </c:pt>
                <c:pt idx="27">
                  <c:v>162592307.16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3-44A2-97A6-85663F982051}"/>
            </c:ext>
          </c:extLst>
        </c:ser>
        <c:ser>
          <c:idx val="1"/>
          <c:order val="1"/>
          <c:tx>
            <c:strRef>
              <c:f>Sheet14!$C$1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Sheet14!$A$2:$A$36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Sheet14!$C$2:$C$36</c:f>
              <c:numCache>
                <c:formatCode>General</c:formatCode>
                <c:ptCount val="35"/>
                <c:pt idx="27" formatCode="[$R-434]\ #\ ##0.00">
                  <c:v>162592307.16</c:v>
                </c:pt>
                <c:pt idx="28" formatCode="[$R-434]\ #\ ##0.00">
                  <c:v>165330432.43956172</c:v>
                </c:pt>
                <c:pt idx="29" formatCode="[$R-434]\ #\ ##0.00">
                  <c:v>167737109.68218717</c:v>
                </c:pt>
                <c:pt idx="30" formatCode="[$R-434]\ #\ ##0.00">
                  <c:v>170152104.9337157</c:v>
                </c:pt>
                <c:pt idx="31" formatCode="[$R-434]\ #\ ##0.00">
                  <c:v>172783368.41672441</c:v>
                </c:pt>
                <c:pt idx="32" formatCode="[$R-434]\ #\ ##0.00">
                  <c:v>175200396.95931813</c:v>
                </c:pt>
                <c:pt idx="33" formatCode="[$R-434]\ #\ ##0.00">
                  <c:v>177674357.65173742</c:v>
                </c:pt>
                <c:pt idx="34" formatCode="[$R-434]\ #\ ##0.00">
                  <c:v>180093974.01932323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3-44A2-97A6-85663F982051}"/>
            </c:ext>
          </c:extLst>
        </c:ser>
        <c:ser>
          <c:idx val="2"/>
          <c:order val="2"/>
          <c:tx>
            <c:strRef>
              <c:f>Sheet14!$D$1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Sheet14!$A$2:$A$36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Sheet14!$D$2:$D$36</c:f>
              <c:numCache>
                <c:formatCode>General</c:formatCode>
                <c:ptCount val="35"/>
                <c:pt idx="27" formatCode="[$R-434]\ #\ ##0.00">
                  <c:v>162592307.16</c:v>
                </c:pt>
                <c:pt idx="28" formatCode="[$R-434]\ #\ ##0.00">
                  <c:v>62912407.338470891</c:v>
                </c:pt>
                <c:pt idx="29" formatCode="[$R-434]\ #\ ##0.00">
                  <c:v>30667448.917359233</c:v>
                </c:pt>
                <c:pt idx="30" formatCode="[$R-434]\ #\ ##0.00">
                  <c:v>5428184.9896545112</c:v>
                </c:pt>
                <c:pt idx="31" formatCode="[$R-434]\ #\ ##0.00">
                  <c:v>-17608535.743671119</c:v>
                </c:pt>
                <c:pt idx="32" formatCode="[$R-434]\ #\ ##0.00">
                  <c:v>-36083458.727733135</c:v>
                </c:pt>
                <c:pt idx="33" formatCode="[$R-434]\ #\ ##0.00">
                  <c:v>-53084810.759705395</c:v>
                </c:pt>
                <c:pt idx="34" formatCode="[$R-434]\ #\ ##0.00">
                  <c:v>-68277504.621619463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3-44A2-97A6-85663F982051}"/>
            </c:ext>
          </c:extLst>
        </c:ser>
        <c:ser>
          <c:idx val="3"/>
          <c:order val="3"/>
          <c:tx>
            <c:strRef>
              <c:f>Sheet14!$E$1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Sheet14!$A$2:$A$36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Sheet14!$E$2:$E$36</c:f>
              <c:numCache>
                <c:formatCode>General</c:formatCode>
                <c:ptCount val="35"/>
                <c:pt idx="27" formatCode="[$R-434]\ #\ ##0.00">
                  <c:v>162592307.16</c:v>
                </c:pt>
                <c:pt idx="28" formatCode="[$R-434]\ #\ ##0.00">
                  <c:v>155330432.43956199</c:v>
                </c:pt>
                <c:pt idx="29" formatCode="[$R-434]\ #\ ##0.00">
                  <c:v>157737109.68218699</c:v>
                </c:pt>
                <c:pt idx="30" formatCode="[$R-434]\ #\ ##0.00">
                  <c:v>160152104.933716</c:v>
                </c:pt>
                <c:pt idx="31" formatCode="[$R-434]\ #\ ##0.00">
                  <c:v>162783368.416724</c:v>
                </c:pt>
                <c:pt idx="32" formatCode="[$R-434]\ #\ ##0.00">
                  <c:v>165200396.95931801</c:v>
                </c:pt>
                <c:pt idx="33" formatCode="[$R-434]\ #\ ##0.00">
                  <c:v>167674357.651737</c:v>
                </c:pt>
                <c:pt idx="34" formatCode="[$R-434]\ #\ ##0.00">
                  <c:v>304876024.87777698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3-44A2-97A6-85663F98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27232"/>
        <c:axId val="1973312832"/>
      </c:lineChart>
      <c:catAx>
        <c:axId val="197332723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312832"/>
        <c:crosses val="autoZero"/>
        <c:auto val="1"/>
        <c:lblAlgn val="ctr"/>
        <c:lblOffset val="100"/>
        <c:noMultiLvlLbl val="0"/>
      </c:catAx>
      <c:valAx>
        <c:axId val="19733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3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Sheet15!$B$1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Sheet15!$B$2:$B$37</c:f>
              <c:numCache>
                <c:formatCode>[$R-434]\ #\ ##0.00</c:formatCode>
                <c:ptCount val="36"/>
                <c:pt idx="0">
                  <c:v>208343291.19999999</c:v>
                </c:pt>
                <c:pt idx="1">
                  <c:v>120023709.54000001</c:v>
                </c:pt>
                <c:pt idx="2">
                  <c:v>120111620.78</c:v>
                </c:pt>
                <c:pt idx="3">
                  <c:v>118568754.98999999</c:v>
                </c:pt>
                <c:pt idx="4">
                  <c:v>109712490.7</c:v>
                </c:pt>
                <c:pt idx="5">
                  <c:v>119865906.34</c:v>
                </c:pt>
                <c:pt idx="6">
                  <c:v>112238319.48</c:v>
                </c:pt>
                <c:pt idx="7">
                  <c:v>122813349.93000001</c:v>
                </c:pt>
                <c:pt idx="8">
                  <c:v>117572062.88</c:v>
                </c:pt>
                <c:pt idx="9">
                  <c:v>274666188.64999998</c:v>
                </c:pt>
                <c:pt idx="10">
                  <c:v>260567700.24000001</c:v>
                </c:pt>
                <c:pt idx="11">
                  <c:v>277013750.64999998</c:v>
                </c:pt>
                <c:pt idx="12">
                  <c:v>263433752.09</c:v>
                </c:pt>
                <c:pt idx="13">
                  <c:v>169733900.40000001</c:v>
                </c:pt>
                <c:pt idx="14">
                  <c:v>145463723.53999999</c:v>
                </c:pt>
                <c:pt idx="15">
                  <c:v>145818937.69</c:v>
                </c:pt>
                <c:pt idx="16">
                  <c:v>134855203.44</c:v>
                </c:pt>
                <c:pt idx="17">
                  <c:v>136886068.88</c:v>
                </c:pt>
                <c:pt idx="18">
                  <c:v>148929316.33000001</c:v>
                </c:pt>
                <c:pt idx="19">
                  <c:v>142234975.59</c:v>
                </c:pt>
                <c:pt idx="20">
                  <c:v>147726850.22</c:v>
                </c:pt>
                <c:pt idx="21">
                  <c:v>146700542.5</c:v>
                </c:pt>
                <c:pt idx="22">
                  <c:v>261527970.63999999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3-4307-8AC1-EE01F4925230}"/>
            </c:ext>
          </c:extLst>
        </c:ser>
        <c:ser>
          <c:idx val="1"/>
          <c:order val="1"/>
          <c:tx>
            <c:strRef>
              <c:f>Sheet15!$C$1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Sheet15!$A$2:$A$37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45475</c:v>
                </c:pt>
                <c:pt idx="24">
                  <c:v>45506</c:v>
                </c:pt>
                <c:pt idx="25">
                  <c:v>45537</c:v>
                </c:pt>
                <c:pt idx="26">
                  <c:v>45568</c:v>
                </c:pt>
                <c:pt idx="27">
                  <c:v>45599</c:v>
                </c:pt>
                <c:pt idx="28">
                  <c:v>45630</c:v>
                </c:pt>
                <c:pt idx="29">
                  <c:v>45661</c:v>
                </c:pt>
                <c:pt idx="30">
                  <c:v>45692</c:v>
                </c:pt>
                <c:pt idx="31">
                  <c:v>45723</c:v>
                </c:pt>
                <c:pt idx="32">
                  <c:v>45754</c:v>
                </c:pt>
                <c:pt idx="33">
                  <c:v>45785</c:v>
                </c:pt>
                <c:pt idx="34">
                  <c:v>45816</c:v>
                </c:pt>
                <c:pt idx="35">
                  <c:v>45838</c:v>
                </c:pt>
              </c:numCache>
            </c:numRef>
          </c:cat>
          <c:val>
            <c:numRef>
              <c:f>Sheet15!$C$2:$C$37</c:f>
              <c:numCache>
                <c:formatCode>General</c:formatCode>
                <c:ptCount val="36"/>
                <c:pt idx="22" formatCode="[$R-434]\ #\ ##0.00">
                  <c:v>261527970.63999999</c:v>
                </c:pt>
                <c:pt idx="23" formatCode="[$R-434]\ #\ ##0.00">
                  <c:v>263311052.23226824</c:v>
                </c:pt>
                <c:pt idx="24" formatCode="[$R-434]\ #\ ##0.00">
                  <c:v>265038412.5247781</c:v>
                </c:pt>
                <c:pt idx="25" formatCode="[$R-434]\ #\ ##0.00">
                  <c:v>266767630.1939466</c:v>
                </c:pt>
                <c:pt idx="26" formatCode="[$R-434]\ #\ ##0.00">
                  <c:v>268548854.40955621</c:v>
                </c:pt>
                <c:pt idx="27" formatCode="[$R-434]\ #\ ##0.00">
                  <c:v>270279929.45538336</c:v>
                </c:pt>
                <c:pt idx="28" formatCode="[$R-434]\ #\ ##0.00">
                  <c:v>272059296.29433435</c:v>
                </c:pt>
                <c:pt idx="29" formatCode="[$R-434]\ #\ ##0.00">
                  <c:v>273786656.58684421</c:v>
                </c:pt>
                <c:pt idx="30" formatCode="[$R-434]\ #\ ##0.00">
                  <c:v>275531927.29713362</c:v>
                </c:pt>
                <c:pt idx="31" formatCode="[$R-434]\ #\ ##0.00">
                  <c:v>277408541.07113916</c:v>
                </c:pt>
                <c:pt idx="32" formatCode="[$R-434]\ #\ ##0.00">
                  <c:v>279147045.62360072</c:v>
                </c:pt>
                <c:pt idx="33" formatCode="[$R-434]\ #\ ##0.00">
                  <c:v>280918982.9559173</c:v>
                </c:pt>
                <c:pt idx="34" formatCode="[$R-434]\ #\ ##0.00">
                  <c:v>282659344.88503742</c:v>
                </c:pt>
                <c:pt idx="35" formatCode="[$R-434]\ #\ ##0.00">
                  <c:v>283926075.76621139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3-4307-8AC1-EE01F4925230}"/>
            </c:ext>
          </c:extLst>
        </c:ser>
        <c:ser>
          <c:idx val="2"/>
          <c:order val="2"/>
          <c:tx>
            <c:strRef>
              <c:f>Sheet15!$D$1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Sheet15!$A$2:$A$37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45475</c:v>
                </c:pt>
                <c:pt idx="24">
                  <c:v>45506</c:v>
                </c:pt>
                <c:pt idx="25">
                  <c:v>45537</c:v>
                </c:pt>
                <c:pt idx="26">
                  <c:v>45568</c:v>
                </c:pt>
                <c:pt idx="27">
                  <c:v>45599</c:v>
                </c:pt>
                <c:pt idx="28">
                  <c:v>45630</c:v>
                </c:pt>
                <c:pt idx="29">
                  <c:v>45661</c:v>
                </c:pt>
                <c:pt idx="30">
                  <c:v>45692</c:v>
                </c:pt>
                <c:pt idx="31">
                  <c:v>45723</c:v>
                </c:pt>
                <c:pt idx="32">
                  <c:v>45754</c:v>
                </c:pt>
                <c:pt idx="33">
                  <c:v>45785</c:v>
                </c:pt>
                <c:pt idx="34">
                  <c:v>45816</c:v>
                </c:pt>
                <c:pt idx="35">
                  <c:v>45838</c:v>
                </c:pt>
              </c:numCache>
            </c:numRef>
          </c:cat>
          <c:val>
            <c:numRef>
              <c:f>Sheet15!$D$2:$D$37</c:f>
              <c:numCache>
                <c:formatCode>General</c:formatCode>
                <c:ptCount val="36"/>
                <c:pt idx="22" formatCode="[$R-434]\ #\ ##0.00">
                  <c:v>261527970.63999999</c:v>
                </c:pt>
                <c:pt idx="23" formatCode="[$R-434]\ #\ ##0.00">
                  <c:v>160968375.84868139</c:v>
                </c:pt>
                <c:pt idx="24" formatCode="[$R-434]\ #\ ##0.00">
                  <c:v>121505359.61256921</c:v>
                </c:pt>
                <c:pt idx="25" formatCode="[$R-434]\ #\ ##0.00">
                  <c:v>91380431.976639152</c:v>
                </c:pt>
                <c:pt idx="26" formatCode="[$R-434]\ #\ ##0.00">
                  <c:v>65456054.879431158</c:v>
                </c:pt>
                <c:pt idx="27" formatCode="[$R-434]\ #\ ##0.00">
                  <c:v>43436535.812124431</c:v>
                </c:pt>
                <c:pt idx="28" formatCode="[$R-434]\ #\ ##0.00">
                  <c:v>23110380.192115128</c:v>
                </c:pt>
                <c:pt idx="29" formatCode="[$R-434]\ #\ ##0.00">
                  <c:v>5074504.1851840019</c:v>
                </c:pt>
                <c:pt idx="30" formatCode="[$R-434]\ #\ ##0.00">
                  <c:v>-11807153.936090469</c:v>
                </c:pt>
                <c:pt idx="31" formatCode="[$R-434]\ #\ ##0.00">
                  <c:v>-28736062.489112318</c:v>
                </c:pt>
                <c:pt idx="32" formatCode="[$R-434]\ #\ ##0.00">
                  <c:v>-43474866.610176265</c:v>
                </c:pt>
                <c:pt idx="33" formatCode="[$R-434]\ #\ ##0.00">
                  <c:v>-57704619.967401981</c:v>
                </c:pt>
                <c:pt idx="34" formatCode="[$R-434]\ #\ ##0.00">
                  <c:v>-71006177.770265996</c:v>
                </c:pt>
                <c:pt idx="35" formatCode="[$R-434]\ #\ ##0.00">
                  <c:v>-80313212.91330415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3-4307-8AC1-EE01F4925230}"/>
            </c:ext>
          </c:extLst>
        </c:ser>
        <c:ser>
          <c:idx val="3"/>
          <c:order val="3"/>
          <c:tx>
            <c:strRef>
              <c:f>Sheet15!$E$1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Sheet15!$A$2:$A$37</c:f>
              <c:numCache>
                <c:formatCode>[$-409]mmmm\-yy;@</c:formatCode>
                <c:ptCount val="36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45475</c:v>
                </c:pt>
                <c:pt idx="24">
                  <c:v>45506</c:v>
                </c:pt>
                <c:pt idx="25">
                  <c:v>45537</c:v>
                </c:pt>
                <c:pt idx="26">
                  <c:v>45568</c:v>
                </c:pt>
                <c:pt idx="27">
                  <c:v>45599</c:v>
                </c:pt>
                <c:pt idx="28">
                  <c:v>45630</c:v>
                </c:pt>
                <c:pt idx="29">
                  <c:v>45661</c:v>
                </c:pt>
                <c:pt idx="30">
                  <c:v>45692</c:v>
                </c:pt>
                <c:pt idx="31">
                  <c:v>45723</c:v>
                </c:pt>
                <c:pt idx="32">
                  <c:v>45754</c:v>
                </c:pt>
                <c:pt idx="33">
                  <c:v>45785</c:v>
                </c:pt>
                <c:pt idx="34">
                  <c:v>45816</c:v>
                </c:pt>
                <c:pt idx="35">
                  <c:v>45838</c:v>
                </c:pt>
              </c:numCache>
            </c:numRef>
          </c:cat>
          <c:val>
            <c:numRef>
              <c:f>Sheet15!$E$2:$E$37</c:f>
              <c:numCache>
                <c:formatCode>General</c:formatCode>
                <c:ptCount val="36"/>
                <c:pt idx="22" formatCode="[$R-434]\ #\ ##0.00">
                  <c:v>261527970.63999999</c:v>
                </c:pt>
                <c:pt idx="23" formatCode="[$R-434]\ #\ ##0.00">
                  <c:v>365653728.6158551</c:v>
                </c:pt>
                <c:pt idx="24" formatCode="[$R-434]\ #\ ##0.00">
                  <c:v>408571465.43698698</c:v>
                </c:pt>
                <c:pt idx="25" formatCode="[$R-434]\ #\ ##0.00">
                  <c:v>442154828.41125405</c:v>
                </c:pt>
                <c:pt idx="26" formatCode="[$R-434]\ #\ ##0.00">
                  <c:v>471641653.93968129</c:v>
                </c:pt>
                <c:pt idx="27" formatCode="[$R-434]\ #\ ##0.00">
                  <c:v>497123323.09864229</c:v>
                </c:pt>
                <c:pt idx="28" formatCode="[$R-434]\ #\ ##0.00">
                  <c:v>521008212.39655358</c:v>
                </c:pt>
                <c:pt idx="29" formatCode="[$R-434]\ #\ ##0.00">
                  <c:v>542498808.98850441</c:v>
                </c:pt>
                <c:pt idx="30" formatCode="[$R-434]\ #\ ##0.00">
                  <c:v>562871008.53035772</c:v>
                </c:pt>
                <c:pt idx="31" formatCode="[$R-434]\ #\ ##0.00">
                  <c:v>583553144.63139057</c:v>
                </c:pt>
                <c:pt idx="32" formatCode="[$R-434]\ #\ ##0.00">
                  <c:v>601768957.85737777</c:v>
                </c:pt>
                <c:pt idx="33" formatCode="[$R-434]\ #\ ##0.00">
                  <c:v>619542585.87923658</c:v>
                </c:pt>
                <c:pt idx="34" formatCode="[$R-434]\ #\ ##0.00">
                  <c:v>636324867.5403409</c:v>
                </c:pt>
                <c:pt idx="35" formatCode="[$R-434]\ #\ ##0.00">
                  <c:v>648165364.44572687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C3-4307-8AC1-EE01F492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08623"/>
        <c:axId val="344307663"/>
      </c:lineChart>
      <c:catAx>
        <c:axId val="344308623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07663"/>
        <c:crosses val="autoZero"/>
        <c:auto val="1"/>
        <c:lblAlgn val="ctr"/>
        <c:lblOffset val="100"/>
        <c:noMultiLvlLbl val="0"/>
      </c:catAx>
      <c:valAx>
        <c:axId val="34430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08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Actuals plus Projections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'MMM 20252026 Actual'!$B$18:$M$18</c:f>
              <c:numCache>
                <c:formatCode>[$-409]mmmm\-yy;@</c:formatCode>
                <c:ptCount val="12"/>
                <c:pt idx="0">
                  <c:v>45866</c:v>
                </c:pt>
                <c:pt idx="1">
                  <c:v>45898</c:v>
                </c:pt>
                <c:pt idx="2">
                  <c:v>45930</c:v>
                </c:pt>
                <c:pt idx="3">
                  <c:v>45931</c:v>
                </c:pt>
                <c:pt idx="4">
                  <c:v>45964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'MMM 20252026 Actual'!$B$25:$M$25</c:f>
              <c:numCache>
                <c:formatCode>[$R-434]#\ ##0</c:formatCode>
                <c:ptCount val="12"/>
                <c:pt idx="0">
                  <c:v>329753073.77999997</c:v>
                </c:pt>
                <c:pt idx="1">
                  <c:v>347764597.14999998</c:v>
                </c:pt>
                <c:pt idx="2">
                  <c:v>268070075.65999997</c:v>
                </c:pt>
                <c:pt idx="3">
                  <c:v>200848351.94999999</c:v>
                </c:pt>
                <c:pt idx="4">
                  <c:v>213991209.47999999</c:v>
                </c:pt>
                <c:pt idx="5">
                  <c:v>222931466.400208</c:v>
                </c:pt>
                <c:pt idx="6">
                  <c:v>204237510.99000001</c:v>
                </c:pt>
                <c:pt idx="7">
                  <c:v>192681828.36000001</c:v>
                </c:pt>
                <c:pt idx="8">
                  <c:v>164146889.92539197</c:v>
                </c:pt>
                <c:pt idx="9">
                  <c:v>210861737.16128403</c:v>
                </c:pt>
                <c:pt idx="10">
                  <c:v>218532305.92613202</c:v>
                </c:pt>
                <c:pt idx="11">
                  <c:v>288134364.56073642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A-9A8B-2A7E836EAA45}"/>
            </c:ext>
          </c:extLst>
        </c:ser>
        <c:ser>
          <c:idx val="1"/>
          <c:order val="1"/>
          <c:tx>
            <c:v>Projections Only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'MMM 20252026 Projections '!$B$25:$M$25</c:f>
              <c:numCache>
                <c:formatCode>[$R-434]#\ ##0.00</c:formatCode>
                <c:ptCount val="12"/>
                <c:pt idx="0">
                  <c:v>388380661.03707206</c:v>
                </c:pt>
                <c:pt idx="1">
                  <c:v>382433703.42513591</c:v>
                </c:pt>
                <c:pt idx="2">
                  <c:v>250514635.42379999</c:v>
                </c:pt>
                <c:pt idx="3">
                  <c:v>204649277.67578799</c:v>
                </c:pt>
                <c:pt idx="4">
                  <c:v>209811634.27237204</c:v>
                </c:pt>
                <c:pt idx="5">
                  <c:v>194195777.48405999</c:v>
                </c:pt>
                <c:pt idx="6">
                  <c:v>201160718.10172802</c:v>
                </c:pt>
                <c:pt idx="7">
                  <c:v>219431645.0064992</c:v>
                </c:pt>
                <c:pt idx="8">
                  <c:v>164146889.92539197</c:v>
                </c:pt>
                <c:pt idx="9">
                  <c:v>210861737.16128403</c:v>
                </c:pt>
                <c:pt idx="10">
                  <c:v>218532305.92613202</c:v>
                </c:pt>
                <c:pt idx="11">
                  <c:v>288134364.56073642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6EA-9A8B-2A7E836EA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46927"/>
        <c:axId val="32951247"/>
      </c:lineChart>
      <c:dateAx>
        <c:axId val="32946927"/>
        <c:scaling>
          <c:orientation val="minMax"/>
        </c:scaling>
        <c:delete val="0"/>
        <c:axPos val="b"/>
        <c:numFmt formatCode="[$-409]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51247"/>
        <c:crosses val="autoZero"/>
        <c:auto val="1"/>
        <c:lblOffset val="100"/>
        <c:baseTimeUnit val="days"/>
      </c:dateAx>
      <c:valAx>
        <c:axId val="3295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4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ThabPr!$B$1</c:f>
              <c:strCache>
                <c:ptCount val="1"/>
                <c:pt idx="0">
                  <c:v>Ruraflex Interval - Thaba Nchu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ThabPr!$B$2:$B$24</c:f>
              <c:numCache>
                <c:formatCode>[$R-434]\ #\ ##0.00</c:formatCode>
                <c:ptCount val="23"/>
                <c:pt idx="0">
                  <c:v>1862030.0550000002</c:v>
                </c:pt>
                <c:pt idx="1">
                  <c:v>1292769.57</c:v>
                </c:pt>
                <c:pt idx="2">
                  <c:v>1367633.36</c:v>
                </c:pt>
                <c:pt idx="3">
                  <c:v>1323999.3899999999</c:v>
                </c:pt>
                <c:pt idx="4">
                  <c:v>1337845.1200000001</c:v>
                </c:pt>
                <c:pt idx="5">
                  <c:v>1370942.86</c:v>
                </c:pt>
                <c:pt idx="6">
                  <c:v>1197886.95</c:v>
                </c:pt>
                <c:pt idx="7">
                  <c:v>1325097.45</c:v>
                </c:pt>
                <c:pt idx="8">
                  <c:v>1203221.95</c:v>
                </c:pt>
                <c:pt idx="9">
                  <c:v>1614363.65</c:v>
                </c:pt>
                <c:pt idx="10">
                  <c:v>1701108.08</c:v>
                </c:pt>
                <c:pt idx="11">
                  <c:v>2040526.34</c:v>
                </c:pt>
                <c:pt idx="12">
                  <c:v>2169130.79</c:v>
                </c:pt>
                <c:pt idx="13">
                  <c:v>1814162.73</c:v>
                </c:pt>
                <c:pt idx="14">
                  <c:v>1508022.87</c:v>
                </c:pt>
                <c:pt idx="15">
                  <c:v>1607158.78</c:v>
                </c:pt>
                <c:pt idx="16">
                  <c:v>1491775.71</c:v>
                </c:pt>
                <c:pt idx="17">
                  <c:v>1670179.93</c:v>
                </c:pt>
                <c:pt idx="18">
                  <c:v>1528943.38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2-4EA9-8429-A915695AF5A9}"/>
            </c:ext>
          </c:extLst>
        </c:ser>
        <c:ser>
          <c:idx val="1"/>
          <c:order val="1"/>
          <c:tx>
            <c:strRef>
              <c:f>ThabPr!$C$1</c:f>
              <c:strCache>
                <c:ptCount val="1"/>
                <c:pt idx="0">
                  <c:v>Forecast(Ruraflex Interval - Thaba Nchu)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ThabPr!$A$2:$A$24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ThabPr!$C$2:$C$24</c:f>
              <c:numCache>
                <c:formatCode>General</c:formatCode>
                <c:ptCount val="23"/>
                <c:pt idx="18" formatCode="[$R-434]\ #\ ##0.00">
                  <c:v>1528943.38</c:v>
                </c:pt>
                <c:pt idx="19" formatCode="[$R-434]\ #\ ##0.00">
                  <c:v>1477181.8620059192</c:v>
                </c:pt>
                <c:pt idx="20" formatCode="[$R-434]\ #\ ##0.00">
                  <c:v>1356271.78204</c:v>
                </c:pt>
                <c:pt idx="21" formatCode="[$R-434]\ #\ ##0.00">
                  <c:v>1819710.7062799998</c:v>
                </c:pt>
                <c:pt idx="22" formatCode="[$R-434]\ #\ ##0.00">
                  <c:v>1917489.0277760001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2-4EA9-8429-A915695AF5A9}"/>
            </c:ext>
          </c:extLst>
        </c:ser>
        <c:ser>
          <c:idx val="2"/>
          <c:order val="2"/>
          <c:tx>
            <c:strRef>
              <c:f>ThabPr!$D$1</c:f>
              <c:strCache>
                <c:ptCount val="1"/>
                <c:pt idx="0">
                  <c:v>Lower Confidence Bound(Ruraflex Interval - Thaba Nchu)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ThabPr!$A$2:$A$24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ThabPr!$D$2:$D$24</c:f>
              <c:numCache>
                <c:formatCode>General</c:formatCode>
                <c:ptCount val="23"/>
                <c:pt idx="18" formatCode="[$R-434]\ #\ ##0.00">
                  <c:v>1528943.38</c:v>
                </c:pt>
                <c:pt idx="19" formatCode="[$R-434]\ #\ ##0.00">
                  <c:v>966830.43162679358</c:v>
                </c:pt>
                <c:pt idx="20" formatCode="[$R-434]\ #\ ##0.00">
                  <c:v>786229.99021471699</c:v>
                </c:pt>
                <c:pt idx="21" formatCode="[$R-434]\ #\ ##0.00">
                  <c:v>1194004.7962860675</c:v>
                </c:pt>
                <c:pt idx="22" formatCode="[$R-434]\ #\ ##0.00">
                  <c:v>1241773.7607329744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2-4EA9-8429-A915695AF5A9}"/>
            </c:ext>
          </c:extLst>
        </c:ser>
        <c:ser>
          <c:idx val="3"/>
          <c:order val="3"/>
          <c:tx>
            <c:strRef>
              <c:f>ThabPr!$E$1</c:f>
              <c:strCache>
                <c:ptCount val="1"/>
                <c:pt idx="0">
                  <c:v>Upper Confidence Bound(Ruraflex Interval - Thaba Nchu)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ThabPr!$A$2:$A$24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ThabPr!$E$2:$E$24</c:f>
              <c:numCache>
                <c:formatCode>General</c:formatCode>
                <c:ptCount val="23"/>
                <c:pt idx="18" formatCode="[$R-434]\ #\ ##0.00">
                  <c:v>1528943.38</c:v>
                </c:pt>
                <c:pt idx="19" formatCode="[$R-434]\ #\ ##0.00">
                  <c:v>1987533.292385045</c:v>
                </c:pt>
                <c:pt idx="20" formatCode="[$R-434]\ #\ ##0.00">
                  <c:v>1926313.5738652828</c:v>
                </c:pt>
                <c:pt idx="21" formatCode="[$R-434]\ #\ ##0.00">
                  <c:v>2445416.6162739322</c:v>
                </c:pt>
                <c:pt idx="22" formatCode="[$R-434]\ #\ ##0.00">
                  <c:v>2593204.2948190258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2-4EA9-8429-A915695A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59776"/>
        <c:axId val="870239615"/>
      </c:lineChart>
      <c:catAx>
        <c:axId val="138795977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239615"/>
        <c:crosses val="autoZero"/>
        <c:auto val="1"/>
        <c:lblAlgn val="ctr"/>
        <c:lblOffset val="100"/>
        <c:noMultiLvlLbl val="0"/>
      </c:catAx>
      <c:valAx>
        <c:axId val="87023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95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vanst!$B$1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vanst!$B$2:$B$25</c:f>
              <c:numCache>
                <c:formatCode>[$R-434]\ #\ ##0.00</c:formatCode>
                <c:ptCount val="24"/>
                <c:pt idx="0">
                  <c:v>440972.05</c:v>
                </c:pt>
                <c:pt idx="1">
                  <c:v>315232.21000000002</c:v>
                </c:pt>
                <c:pt idx="2">
                  <c:v>322014.64</c:v>
                </c:pt>
                <c:pt idx="3">
                  <c:v>303310.43</c:v>
                </c:pt>
                <c:pt idx="4">
                  <c:v>320377.34999999998</c:v>
                </c:pt>
                <c:pt idx="5">
                  <c:v>312570.65000000002</c:v>
                </c:pt>
                <c:pt idx="6">
                  <c:v>294309.82</c:v>
                </c:pt>
                <c:pt idx="7">
                  <c:v>335307.18</c:v>
                </c:pt>
                <c:pt idx="8">
                  <c:v>344778.29</c:v>
                </c:pt>
                <c:pt idx="9">
                  <c:v>432983.97</c:v>
                </c:pt>
                <c:pt idx="10">
                  <c:v>491744.23</c:v>
                </c:pt>
                <c:pt idx="11">
                  <c:v>568340.36</c:v>
                </c:pt>
                <c:pt idx="12">
                  <c:v>626577.21</c:v>
                </c:pt>
                <c:pt idx="13">
                  <c:v>513651.61</c:v>
                </c:pt>
                <c:pt idx="14">
                  <c:v>388035.79</c:v>
                </c:pt>
                <c:pt idx="15">
                  <c:v>400268.64</c:v>
                </c:pt>
                <c:pt idx="16">
                  <c:v>385329.89</c:v>
                </c:pt>
                <c:pt idx="17">
                  <c:v>373294.45</c:v>
                </c:pt>
                <c:pt idx="18">
                  <c:v>389534.63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0-48EF-8E3E-33C750F1C044}"/>
            </c:ext>
          </c:extLst>
        </c:ser>
        <c:ser>
          <c:idx val="1"/>
          <c:order val="1"/>
          <c:tx>
            <c:strRef>
              <c:f>vanst!$C$1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vanst!$A$2:$A$25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vanst!$C$2:$C$25</c:f>
              <c:numCache>
                <c:formatCode>General</c:formatCode>
                <c:ptCount val="24"/>
                <c:pt idx="18" formatCode="[$R-434]\ #\ ##0.00">
                  <c:v>389534.63</c:v>
                </c:pt>
                <c:pt idx="19" formatCode="[$R-434]\ #\ ##0.00">
                  <c:v>369448.00370228908</c:v>
                </c:pt>
                <c:pt idx="20" formatCode="[$R-434]\ #\ ##0.00">
                  <c:v>377958.25329600001</c:v>
                </c:pt>
                <c:pt idx="21" formatCode="[$R-434]\ #\ ##0.00">
                  <c:v>388634.08848799998</c:v>
                </c:pt>
                <c:pt idx="22" formatCode="[$R-434]\ #\ ##0.00">
                  <c:v>488059.53098399995</c:v>
                </c:pt>
                <c:pt idx="23" formatCode="[$R-434]\ #\ ##0.00">
                  <c:v>554294.09605599998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0-48EF-8E3E-33C750F1C044}"/>
            </c:ext>
          </c:extLst>
        </c:ser>
        <c:ser>
          <c:idx val="2"/>
          <c:order val="2"/>
          <c:tx>
            <c:strRef>
              <c:f>vanst!$D$1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vanst!$A$2:$A$25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vanst!$D$2:$D$25</c:f>
              <c:numCache>
                <c:formatCode>General</c:formatCode>
                <c:ptCount val="24"/>
                <c:pt idx="18" formatCode="[$R-434]\ #\ ##0.00">
                  <c:v>389534.63</c:v>
                </c:pt>
                <c:pt idx="19" formatCode="[$R-434]\ #\ ##0.00">
                  <c:v>188534.43656015189</c:v>
                </c:pt>
                <c:pt idx="20" formatCode="[$R-434]\ #\ ##0.00">
                  <c:v>191440.4630103675</c:v>
                </c:pt>
                <c:pt idx="21" formatCode="[$R-434]\ #\ ##0.00">
                  <c:v>196480.87482431394</c:v>
                </c:pt>
                <c:pt idx="22" formatCode="[$R-434]\ #\ ##0.00">
                  <c:v>290530.40236206003</c:v>
                </c:pt>
                <c:pt idx="23" formatCode="[$R-434]\ #\ ##0.00">
                  <c:v>351355.69116353057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0-48EF-8E3E-33C750F1C044}"/>
            </c:ext>
          </c:extLst>
        </c:ser>
        <c:ser>
          <c:idx val="3"/>
          <c:order val="3"/>
          <c:tx>
            <c:strRef>
              <c:f>vanst!$E$1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vanst!$A$2:$A$25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vanst!$E$2:$E$25</c:f>
              <c:numCache>
                <c:formatCode>General</c:formatCode>
                <c:ptCount val="24"/>
                <c:pt idx="18" formatCode="[$R-434]\ #\ ##0.00">
                  <c:v>389534.63</c:v>
                </c:pt>
                <c:pt idx="19" formatCode="[$R-434]\ #\ ##0.00">
                  <c:v>550361.57084442629</c:v>
                </c:pt>
                <c:pt idx="20" formatCode="[$R-434]\ #\ ##0.00">
                  <c:v>564476.04358163255</c:v>
                </c:pt>
                <c:pt idx="21" formatCode="[$R-434]\ #\ ##0.00">
                  <c:v>580787.30215168605</c:v>
                </c:pt>
                <c:pt idx="22" formatCode="[$R-434]\ #\ ##0.00">
                  <c:v>685588.65960593987</c:v>
                </c:pt>
                <c:pt idx="23" formatCode="[$R-434]\ #\ ##0.00">
                  <c:v>757232.50094846939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60-48EF-8E3E-33C750F1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66496"/>
        <c:axId val="870220767"/>
      </c:lineChart>
      <c:catAx>
        <c:axId val="138796649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220767"/>
        <c:crosses val="autoZero"/>
        <c:auto val="1"/>
        <c:lblAlgn val="ctr"/>
        <c:lblOffset val="100"/>
        <c:noMultiLvlLbl val="0"/>
      </c:catAx>
      <c:valAx>
        <c:axId val="8702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96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dewe!$B$1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dewe!$B$2:$B$25</c:f>
              <c:numCache>
                <c:formatCode>[$R-434]\ #\ ##0.00</c:formatCode>
                <c:ptCount val="24"/>
                <c:pt idx="0">
                  <c:v>2058069.14</c:v>
                </c:pt>
                <c:pt idx="1">
                  <c:v>1181240.83</c:v>
                </c:pt>
                <c:pt idx="2">
                  <c:v>1139273.93</c:v>
                </c:pt>
                <c:pt idx="3">
                  <c:v>1067844.3899999999</c:v>
                </c:pt>
                <c:pt idx="4">
                  <c:v>1099126.3899999999</c:v>
                </c:pt>
                <c:pt idx="5">
                  <c:v>1087559.46</c:v>
                </c:pt>
                <c:pt idx="6">
                  <c:v>1018157.39</c:v>
                </c:pt>
                <c:pt idx="7">
                  <c:v>1145003.44</c:v>
                </c:pt>
                <c:pt idx="8">
                  <c:v>1211714.75</c:v>
                </c:pt>
                <c:pt idx="9">
                  <c:v>1801431.71</c:v>
                </c:pt>
                <c:pt idx="10">
                  <c:v>1871990.03</c:v>
                </c:pt>
                <c:pt idx="11">
                  <c:v>2045818.2</c:v>
                </c:pt>
                <c:pt idx="12">
                  <c:v>2315972.88</c:v>
                </c:pt>
                <c:pt idx="13">
                  <c:v>1822834.98</c:v>
                </c:pt>
                <c:pt idx="14">
                  <c:v>1252527.55</c:v>
                </c:pt>
                <c:pt idx="15">
                  <c:v>1241748.8500000001</c:v>
                </c:pt>
                <c:pt idx="16">
                  <c:v>1123553.17</c:v>
                </c:pt>
                <c:pt idx="17">
                  <c:v>1181231.69</c:v>
                </c:pt>
                <c:pt idx="18">
                  <c:v>1268508.8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5-4614-9A16-D89DF325FB1D}"/>
            </c:ext>
          </c:extLst>
        </c:ser>
        <c:ser>
          <c:idx val="1"/>
          <c:order val="1"/>
          <c:tx>
            <c:strRef>
              <c:f>dewe!$C$1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dewe!$A$2:$A$25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dewe!$C$2:$C$25</c:f>
              <c:numCache>
                <c:formatCode>General</c:formatCode>
                <c:ptCount val="24"/>
                <c:pt idx="18" formatCode="[$R-434]\ #\ ##0.00">
                  <c:v>1268508.8</c:v>
                </c:pt>
                <c:pt idx="19" formatCode="[$R-434]\ #\ ##0.00">
                  <c:v>1258412.5686973669</c:v>
                </c:pt>
                <c:pt idx="20" formatCode="[$R-434]\ #\ ##0.00">
                  <c:v>1365844.8662</c:v>
                </c:pt>
                <c:pt idx="21" formatCode="[$R-434]\ #\ ##0.00">
                  <c:v>2030573.823512</c:v>
                </c:pt>
                <c:pt idx="22" formatCode="[$R-434]\ #\ ##0.00">
                  <c:v>2110107.161816</c:v>
                </c:pt>
                <c:pt idx="23" formatCode="[$R-434]\ #\ ##0.00">
                  <c:v>2306046.2750399997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5-4614-9A16-D89DF325FB1D}"/>
            </c:ext>
          </c:extLst>
        </c:ser>
        <c:ser>
          <c:idx val="2"/>
          <c:order val="2"/>
          <c:tx>
            <c:strRef>
              <c:f>dewe!$D$1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dewe!$A$2:$A$25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dewe!$D$2:$D$25</c:f>
              <c:numCache>
                <c:formatCode>General</c:formatCode>
                <c:ptCount val="24"/>
                <c:pt idx="18" formatCode="[$R-434]\ #\ ##0.00">
                  <c:v>1268508.8</c:v>
                </c:pt>
                <c:pt idx="19" formatCode="[$R-434]\ #\ ##0.00">
                  <c:v>488776.69897031132</c:v>
                </c:pt>
                <c:pt idx="20" formatCode="[$R-434]\ #\ ##0.00">
                  <c:v>506192.90067831101</c:v>
                </c:pt>
                <c:pt idx="21" formatCode="[$R-434]\ #\ ##0.00">
                  <c:v>1086977.5414876759</c:v>
                </c:pt>
                <c:pt idx="22" formatCode="[$R-434]\ #\ ##0.00">
                  <c:v>1091094.2301736323</c:v>
                </c:pt>
                <c:pt idx="23" formatCode="[$R-434]\ #\ ##0.00">
                  <c:v>1214795.6673162065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5-4614-9A16-D89DF325FB1D}"/>
            </c:ext>
          </c:extLst>
        </c:ser>
        <c:ser>
          <c:idx val="3"/>
          <c:order val="3"/>
          <c:tx>
            <c:strRef>
              <c:f>dewe!$E$1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dewe!$A$2:$A$25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dewe!$E$2:$E$25</c:f>
              <c:numCache>
                <c:formatCode>General</c:formatCode>
                <c:ptCount val="24"/>
                <c:pt idx="18" formatCode="[$R-434]\ #\ ##0.00">
                  <c:v>1268508.8</c:v>
                </c:pt>
                <c:pt idx="19" formatCode="[$R-434]\ #\ ##0.00">
                  <c:v>2028048.4384244224</c:v>
                </c:pt>
                <c:pt idx="20" formatCode="[$R-434]\ #\ ##0.00">
                  <c:v>2225496.8317216891</c:v>
                </c:pt>
                <c:pt idx="21" formatCode="[$R-434]\ #\ ##0.00">
                  <c:v>2974170.105536324</c:v>
                </c:pt>
                <c:pt idx="22" formatCode="[$R-434]\ #\ ##0.00">
                  <c:v>3129120.0934583675</c:v>
                </c:pt>
                <c:pt idx="23" formatCode="[$R-434]\ #\ ##0.00">
                  <c:v>3397296.8827637928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B5-4614-9A16-D89DF325F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54496"/>
        <c:axId val="870234655"/>
      </c:lineChart>
      <c:catAx>
        <c:axId val="138795449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234655"/>
        <c:crosses val="autoZero"/>
        <c:auto val="1"/>
        <c:lblAlgn val="ctr"/>
        <c:lblOffset val="100"/>
        <c:noMultiLvlLbl val="0"/>
      </c:catAx>
      <c:valAx>
        <c:axId val="87023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95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Wep!$B$1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Wep!$B$2:$B$25</c:f>
              <c:numCache>
                <c:formatCode>[$R-434]\ #\ ##0.00</c:formatCode>
                <c:ptCount val="24"/>
                <c:pt idx="0">
                  <c:v>401107.68</c:v>
                </c:pt>
                <c:pt idx="1">
                  <c:v>378209.18</c:v>
                </c:pt>
                <c:pt idx="2">
                  <c:v>367856.03</c:v>
                </c:pt>
                <c:pt idx="3">
                  <c:v>363672.71</c:v>
                </c:pt>
                <c:pt idx="4">
                  <c:v>376025.65</c:v>
                </c:pt>
                <c:pt idx="5">
                  <c:v>385650.5</c:v>
                </c:pt>
                <c:pt idx="6">
                  <c:v>343665.27</c:v>
                </c:pt>
                <c:pt idx="7">
                  <c:v>390565.64</c:v>
                </c:pt>
                <c:pt idx="8">
                  <c:v>400085.86</c:v>
                </c:pt>
                <c:pt idx="9">
                  <c:v>589151.01</c:v>
                </c:pt>
                <c:pt idx="10">
                  <c:v>629495.80000000005</c:v>
                </c:pt>
                <c:pt idx="11">
                  <c:v>719682.76</c:v>
                </c:pt>
                <c:pt idx="12">
                  <c:v>753683.85</c:v>
                </c:pt>
                <c:pt idx="13">
                  <c:v>593811.19999999995</c:v>
                </c:pt>
                <c:pt idx="14">
                  <c:v>442264.63</c:v>
                </c:pt>
                <c:pt idx="15">
                  <c:v>434686.12</c:v>
                </c:pt>
                <c:pt idx="16">
                  <c:v>393899.63</c:v>
                </c:pt>
                <c:pt idx="17">
                  <c:v>428519.49</c:v>
                </c:pt>
                <c:pt idx="18">
                  <c:v>441367.84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0-426F-894D-43D349F903B4}"/>
            </c:ext>
          </c:extLst>
        </c:ser>
        <c:ser>
          <c:idx val="1"/>
          <c:order val="1"/>
          <c:tx>
            <c:strRef>
              <c:f>Wep!$C$1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Wep!$A$2:$A$25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Wep!$C$2:$C$25</c:f>
              <c:numCache>
                <c:formatCode>General</c:formatCode>
                <c:ptCount val="24"/>
                <c:pt idx="18" formatCode="[$R-434]\ #\ ##0.00">
                  <c:v>441367.84</c:v>
                </c:pt>
                <c:pt idx="19" formatCode="[$R-434]\ #\ ##0.00">
                  <c:v>425958.09028834075</c:v>
                </c:pt>
                <c:pt idx="20" formatCode="[$R-434]\ #\ ##0.00">
                  <c:v>450976.78139199998</c:v>
                </c:pt>
                <c:pt idx="21" formatCode="[$R-434]\ #\ ##0.00">
                  <c:v>664091.01847200003</c:v>
                </c:pt>
                <c:pt idx="22" formatCode="[$R-434]\ #\ ##0.00">
                  <c:v>709567.66576</c:v>
                </c:pt>
                <c:pt idx="23" formatCode="[$R-434]\ #\ ##0.00">
                  <c:v>811226.40707199997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0-426F-894D-43D349F903B4}"/>
            </c:ext>
          </c:extLst>
        </c:ser>
        <c:ser>
          <c:idx val="2"/>
          <c:order val="2"/>
          <c:tx>
            <c:strRef>
              <c:f>Wep!$D$1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Wep!$A$2:$A$25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Wep!$D$2:$D$25</c:f>
              <c:numCache>
                <c:formatCode>General</c:formatCode>
                <c:ptCount val="24"/>
                <c:pt idx="18" formatCode="[$R-434]\ #\ ##0.00">
                  <c:v>441367.84</c:v>
                </c:pt>
                <c:pt idx="19" formatCode="[$R-434]\ #\ ##0.00">
                  <c:v>200350.1776484563</c:v>
                </c:pt>
                <c:pt idx="20" formatCode="[$R-434]\ #\ ##0.00">
                  <c:v>225367.79869451898</c:v>
                </c:pt>
                <c:pt idx="21" formatCode="[$R-434]\ #\ ##0.00">
                  <c:v>438480.0783415527</c:v>
                </c:pt>
                <c:pt idx="22" formatCode="[$R-434]\ #\ ##0.00">
                  <c:v>483953.7724098732</c:v>
                </c:pt>
                <c:pt idx="23" formatCode="[$R-434]\ #\ ##0.00">
                  <c:v>585608.14582218626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0-426F-894D-43D349F903B4}"/>
            </c:ext>
          </c:extLst>
        </c:ser>
        <c:ser>
          <c:idx val="3"/>
          <c:order val="3"/>
          <c:tx>
            <c:strRef>
              <c:f>Wep!$E$1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Wep!$A$2:$A$25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Wep!$E$2:$E$25</c:f>
              <c:numCache>
                <c:formatCode>General</c:formatCode>
                <c:ptCount val="24"/>
                <c:pt idx="18" formatCode="[$R-434]\ #\ ##0.00">
                  <c:v>441367.84</c:v>
                </c:pt>
                <c:pt idx="19" formatCode="[$R-434]\ #\ ##0.00">
                  <c:v>651566.00292822521</c:v>
                </c:pt>
                <c:pt idx="20" formatCode="[$R-434]\ #\ ##0.00">
                  <c:v>676585.76408948097</c:v>
                </c:pt>
                <c:pt idx="21" formatCode="[$R-434]\ #\ ##0.00">
                  <c:v>889701.9586024473</c:v>
                </c:pt>
                <c:pt idx="22" formatCode="[$R-434]\ #\ ##0.00">
                  <c:v>935181.55911012681</c:v>
                </c:pt>
                <c:pt idx="23" formatCode="[$R-434]\ #\ ##0.00">
                  <c:v>1036844.6683218137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90-426F-894D-43D349F90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610608"/>
        <c:axId val="213133919"/>
      </c:lineChart>
      <c:catAx>
        <c:axId val="196061060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33919"/>
        <c:crosses val="autoZero"/>
        <c:auto val="1"/>
        <c:lblAlgn val="ctr"/>
        <c:lblOffset val="100"/>
        <c:noMultiLvlLbl val="0"/>
      </c:catAx>
      <c:valAx>
        <c:axId val="21313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61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kana!$B$1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kana!$B$2:$B$25</c:f>
              <c:numCache>
                <c:formatCode>[$R-434]\ #\ ##0.00</c:formatCode>
                <c:ptCount val="24"/>
                <c:pt idx="0">
                  <c:v>180443.715</c:v>
                </c:pt>
                <c:pt idx="1">
                  <c:v>123004.43</c:v>
                </c:pt>
                <c:pt idx="2">
                  <c:v>120148.05</c:v>
                </c:pt>
                <c:pt idx="3">
                  <c:v>118978.53</c:v>
                </c:pt>
                <c:pt idx="4">
                  <c:v>138663.49</c:v>
                </c:pt>
                <c:pt idx="5">
                  <c:v>125906.76</c:v>
                </c:pt>
                <c:pt idx="6">
                  <c:v>116840.05</c:v>
                </c:pt>
                <c:pt idx="7">
                  <c:v>132329.51999999999</c:v>
                </c:pt>
                <c:pt idx="8">
                  <c:v>130717.9</c:v>
                </c:pt>
                <c:pt idx="9">
                  <c:v>162216.93</c:v>
                </c:pt>
                <c:pt idx="10">
                  <c:v>113345.57</c:v>
                </c:pt>
                <c:pt idx="11">
                  <c:v>125582.37</c:v>
                </c:pt>
                <c:pt idx="12">
                  <c:v>136449.21</c:v>
                </c:pt>
                <c:pt idx="13">
                  <c:v>111098.58</c:v>
                </c:pt>
                <c:pt idx="14">
                  <c:v>90769.68</c:v>
                </c:pt>
                <c:pt idx="15">
                  <c:v>93090.97</c:v>
                </c:pt>
                <c:pt idx="16">
                  <c:v>84292.02</c:v>
                </c:pt>
                <c:pt idx="17">
                  <c:v>95178.14</c:v>
                </c:pt>
                <c:pt idx="18">
                  <c:v>94759.56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6-4468-B1E2-FEF8FB4A8432}"/>
            </c:ext>
          </c:extLst>
        </c:ser>
        <c:ser>
          <c:idx val="1"/>
          <c:order val="1"/>
          <c:tx>
            <c:strRef>
              <c:f>kana!$C$1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kana!$A$2:$A$25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kana!$C$2:$C$25</c:f>
              <c:numCache>
                <c:formatCode>General</c:formatCode>
                <c:ptCount val="24"/>
                <c:pt idx="18" formatCode="[$R-434]\ #\ ##0.00">
                  <c:v>94759.56</c:v>
                </c:pt>
                <c:pt idx="19" formatCode="[$R-434]\ #\ ##0.00">
                  <c:v>129873.64076740987</c:v>
                </c:pt>
                <c:pt idx="20" formatCode="[$R-434]\ #\ ##0.00">
                  <c:v>147345.21687999999</c:v>
                </c:pt>
                <c:pt idx="21" formatCode="[$R-434]\ #\ ##0.00">
                  <c:v>182850.923496</c:v>
                </c:pt>
                <c:pt idx="22" formatCode="[$R-434]\ #\ ##0.00">
                  <c:v>127763.12650400001</c:v>
                </c:pt>
                <c:pt idx="23" formatCode="[$R-434]\ #\ ##0.00">
                  <c:v>141556.447464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6-4468-B1E2-FEF8FB4A8432}"/>
            </c:ext>
          </c:extLst>
        </c:ser>
        <c:ser>
          <c:idx val="2"/>
          <c:order val="2"/>
          <c:tx>
            <c:strRef>
              <c:f>kana!$D$1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kana!$A$2:$A$25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kana!$D$2:$D$25</c:f>
              <c:numCache>
                <c:formatCode>General</c:formatCode>
                <c:ptCount val="24"/>
                <c:pt idx="18" formatCode="[$R-434]\ #\ ##0.00">
                  <c:v>94759.56</c:v>
                </c:pt>
                <c:pt idx="19" formatCode="[$R-434]\ #\ ##0.00">
                  <c:v>88921.717535892036</c:v>
                </c:pt>
                <c:pt idx="20" formatCode="[$R-434]\ #\ ##0.00">
                  <c:v>96435.105196870514</c:v>
                </c:pt>
                <c:pt idx="21" formatCode="[$R-434]\ #\ ##0.00">
                  <c:v>123397.4720498378</c:v>
                </c:pt>
                <c:pt idx="22" formatCode="[$R-434]\ #\ ##0.00">
                  <c:v>61014.054634858883</c:v>
                </c:pt>
                <c:pt idx="23" formatCode="[$R-434]\ #\ ##0.00">
                  <c:v>68055.271276802305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6-4468-B1E2-FEF8FB4A8432}"/>
            </c:ext>
          </c:extLst>
        </c:ser>
        <c:ser>
          <c:idx val="3"/>
          <c:order val="3"/>
          <c:tx>
            <c:strRef>
              <c:f>kana!$E$1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kana!$A$2:$A$25</c:f>
              <c:numCache>
                <c:formatCode>[$-409]mmmm\-yy;@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  <c:pt idx="23">
                  <c:v>45478</c:v>
                </c:pt>
              </c:numCache>
            </c:numRef>
          </c:cat>
          <c:val>
            <c:numRef>
              <c:f>kana!$E$2:$E$25</c:f>
              <c:numCache>
                <c:formatCode>General</c:formatCode>
                <c:ptCount val="24"/>
                <c:pt idx="18" formatCode="[$R-434]\ #\ ##0.00">
                  <c:v>94759.56</c:v>
                </c:pt>
                <c:pt idx="19" formatCode="[$R-434]\ #\ ##0.00">
                  <c:v>170825.56399892771</c:v>
                </c:pt>
                <c:pt idx="20" formatCode="[$R-434]\ #\ ##0.00">
                  <c:v>198255.32856312947</c:v>
                </c:pt>
                <c:pt idx="21" formatCode="[$R-434]\ #\ ##0.00">
                  <c:v>242304.37494216219</c:v>
                </c:pt>
                <c:pt idx="22" formatCode="[$R-434]\ #\ ##0.00">
                  <c:v>194512.19837314115</c:v>
                </c:pt>
                <c:pt idx="23" formatCode="[$R-434]\ #\ ##0.00">
                  <c:v>215057.6236511977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86-4468-B1E2-FEF8FB4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703727"/>
        <c:axId val="1872751040"/>
      </c:lineChart>
      <c:catAx>
        <c:axId val="275703727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751040"/>
        <c:crosses val="autoZero"/>
        <c:auto val="1"/>
        <c:lblAlgn val="ctr"/>
        <c:lblOffset val="100"/>
        <c:noMultiLvlLbl val="0"/>
      </c:catAx>
      <c:valAx>
        <c:axId val="18727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70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igom!$B$1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igom!$B$2:$B$24</c:f>
              <c:numCache>
                <c:formatCode>[$R-434]\ #\ ##0.00</c:formatCode>
                <c:ptCount val="23"/>
                <c:pt idx="0">
                  <c:v>5441.5150000000003</c:v>
                </c:pt>
                <c:pt idx="1">
                  <c:v>5558.01</c:v>
                </c:pt>
                <c:pt idx="2">
                  <c:v>5378.02</c:v>
                </c:pt>
                <c:pt idx="3">
                  <c:v>6036.51</c:v>
                </c:pt>
                <c:pt idx="4">
                  <c:v>5378.02</c:v>
                </c:pt>
                <c:pt idx="5">
                  <c:v>5558.01</c:v>
                </c:pt>
                <c:pt idx="6">
                  <c:v>5558.01</c:v>
                </c:pt>
                <c:pt idx="7">
                  <c:v>5020.45</c:v>
                </c:pt>
                <c:pt idx="8">
                  <c:v>5558.01</c:v>
                </c:pt>
                <c:pt idx="9">
                  <c:v>5378.02</c:v>
                </c:pt>
                <c:pt idx="10">
                  <c:v>6459.11</c:v>
                </c:pt>
                <c:pt idx="11">
                  <c:v>6850.58</c:v>
                </c:pt>
                <c:pt idx="12">
                  <c:v>7152.71</c:v>
                </c:pt>
                <c:pt idx="13">
                  <c:v>7152.71</c:v>
                </c:pt>
                <c:pt idx="14">
                  <c:v>6921.08</c:v>
                </c:pt>
                <c:pt idx="15">
                  <c:v>7152.71</c:v>
                </c:pt>
                <c:pt idx="16">
                  <c:v>6921.08</c:v>
                </c:pt>
                <c:pt idx="17">
                  <c:v>7152.71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0-4270-AFF6-25315F40146F}"/>
            </c:ext>
          </c:extLst>
        </c:ser>
        <c:ser>
          <c:idx val="1"/>
          <c:order val="1"/>
          <c:tx>
            <c:strRef>
              <c:f>igom!$C$1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igom!$A$2:$A$24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igom!$C$2:$C$24</c:f>
              <c:numCache>
                <c:formatCode>General</c:formatCode>
                <c:ptCount val="23"/>
                <c:pt idx="17" formatCode="[$R-434]\ #\ ##0.00">
                  <c:v>7152.71</c:v>
                </c:pt>
                <c:pt idx="18" formatCode="[$R-434]\ #\ ##0.00">
                  <c:v>7268.8419171707501</c:v>
                </c:pt>
                <c:pt idx="19" formatCode="[$R-434]\ #\ ##0.00">
                  <c:v>7400.2804751463409</c:v>
                </c:pt>
                <c:pt idx="20" formatCode="[$R-434]\ #\ ##0.00">
                  <c:v>7524.0185923516447</c:v>
                </c:pt>
                <c:pt idx="21" formatCode="[$R-434]\ #\ ##0.00">
                  <c:v>7651.20863128156</c:v>
                </c:pt>
                <c:pt idx="22" formatCode="[$R-434]\ #\ ##0.00">
                  <c:v>7775.0795147070421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0-4270-AFF6-25315F40146F}"/>
            </c:ext>
          </c:extLst>
        </c:ser>
        <c:ser>
          <c:idx val="2"/>
          <c:order val="2"/>
          <c:tx>
            <c:strRef>
              <c:f>igom!$D$1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igom!$A$2:$A$24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igom!$D$2:$D$24</c:f>
              <c:numCache>
                <c:formatCode>General</c:formatCode>
                <c:ptCount val="23"/>
                <c:pt idx="17" formatCode="[$R-434]\ #\ ##0.00">
                  <c:v>7152.71</c:v>
                </c:pt>
                <c:pt idx="18" formatCode="[$R-434]\ #\ ##0.00">
                  <c:v>6486.7896620826359</c:v>
                </c:pt>
                <c:pt idx="19" formatCode="[$R-434]\ #\ ##0.00">
                  <c:v>6332.4736515436671</c:v>
                </c:pt>
                <c:pt idx="20" formatCode="[$R-434]\ #\ ##0.00">
                  <c:v>6243.799862922222</c:v>
                </c:pt>
                <c:pt idx="21" formatCode="[$R-434]\ #\ ##0.00">
                  <c:v>6183.9695053023261</c:v>
                </c:pt>
                <c:pt idx="22" formatCode="[$R-434]\ #\ ##0.00">
                  <c:v>6145.8687906259238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0-4270-AFF6-25315F40146F}"/>
            </c:ext>
          </c:extLst>
        </c:ser>
        <c:ser>
          <c:idx val="3"/>
          <c:order val="3"/>
          <c:tx>
            <c:strRef>
              <c:f>igom!$E$1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igom!$A$2:$A$24</c:f>
              <c:numCache>
                <c:formatCode>[$-409]mmmm\-yy;@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45354</c:v>
                </c:pt>
                <c:pt idx="20">
                  <c:v>45385</c:v>
                </c:pt>
                <c:pt idx="21">
                  <c:v>45416</c:v>
                </c:pt>
                <c:pt idx="22">
                  <c:v>45447</c:v>
                </c:pt>
              </c:numCache>
            </c:numRef>
          </c:cat>
          <c:val>
            <c:numRef>
              <c:f>igom!$E$2:$E$24</c:f>
              <c:numCache>
                <c:formatCode>General</c:formatCode>
                <c:ptCount val="23"/>
                <c:pt idx="17" formatCode="[$R-434]\ #\ ##0.00">
                  <c:v>7152.71</c:v>
                </c:pt>
                <c:pt idx="18" formatCode="[$R-434]\ #\ ##0.00">
                  <c:v>8050.8941722588643</c:v>
                </c:pt>
                <c:pt idx="19" formatCode="[$R-434]\ #\ ##0.00">
                  <c:v>8468.0872987490147</c:v>
                </c:pt>
                <c:pt idx="20" formatCode="[$R-434]\ #\ ##0.00">
                  <c:v>8804.2373217810673</c:v>
                </c:pt>
                <c:pt idx="21" formatCode="[$R-434]\ #\ ##0.00">
                  <c:v>9118.4477572607939</c:v>
                </c:pt>
                <c:pt idx="22" formatCode="[$R-434]\ #\ ##0.00">
                  <c:v>9404.2902387881604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20-4270-AFF6-25315F401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34303"/>
        <c:axId val="293658959"/>
      </c:lineChart>
      <c:catAx>
        <c:axId val="149934303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58959"/>
        <c:crosses val="autoZero"/>
        <c:auto val="1"/>
        <c:lblAlgn val="ctr"/>
        <c:lblOffset val="100"/>
        <c:noMultiLvlLbl val="0"/>
      </c:catAx>
      <c:valAx>
        <c:axId val="29365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3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Sheet2!$B$2:$B$36</c:f>
              <c:numCache>
                <c:formatCode>[$R-434]\ #\ ##0.00</c:formatCode>
                <c:ptCount val="35"/>
                <c:pt idx="0">
                  <c:v>440972.05</c:v>
                </c:pt>
                <c:pt idx="1">
                  <c:v>315232.21000000002</c:v>
                </c:pt>
                <c:pt idx="2">
                  <c:v>322014.64</c:v>
                </c:pt>
                <c:pt idx="3">
                  <c:v>303310.43</c:v>
                </c:pt>
                <c:pt idx="4">
                  <c:v>320377.34999999998</c:v>
                </c:pt>
                <c:pt idx="5">
                  <c:v>312570.65000000002</c:v>
                </c:pt>
                <c:pt idx="6">
                  <c:v>294309.82</c:v>
                </c:pt>
                <c:pt idx="7">
                  <c:v>335307.18</c:v>
                </c:pt>
                <c:pt idx="8">
                  <c:v>344778.29</c:v>
                </c:pt>
                <c:pt idx="9">
                  <c:v>432983.97</c:v>
                </c:pt>
                <c:pt idx="10">
                  <c:v>491744.23</c:v>
                </c:pt>
                <c:pt idx="11">
                  <c:v>568340.36</c:v>
                </c:pt>
                <c:pt idx="12">
                  <c:v>626577.21</c:v>
                </c:pt>
                <c:pt idx="13">
                  <c:v>513651.61</c:v>
                </c:pt>
                <c:pt idx="14">
                  <c:v>388035.79</c:v>
                </c:pt>
                <c:pt idx="15">
                  <c:v>400268.64</c:v>
                </c:pt>
                <c:pt idx="16">
                  <c:v>385329.89</c:v>
                </c:pt>
                <c:pt idx="17">
                  <c:v>373294.45</c:v>
                </c:pt>
                <c:pt idx="18">
                  <c:v>389534.63</c:v>
                </c:pt>
                <c:pt idx="19">
                  <c:v>366958.82</c:v>
                </c:pt>
                <c:pt idx="20">
                  <c:v>376887.42</c:v>
                </c:pt>
                <c:pt idx="21">
                  <c:v>380862.84</c:v>
                </c:pt>
                <c:pt idx="22">
                  <c:v>460757.95</c:v>
                </c:pt>
                <c:pt idx="23">
                  <c:v>512614.61</c:v>
                </c:pt>
                <c:pt idx="24">
                  <c:v>512614.61</c:v>
                </c:pt>
                <c:pt idx="25">
                  <c:v>571562.80000000005</c:v>
                </c:pt>
                <c:pt idx="26">
                  <c:v>419432.71</c:v>
                </c:pt>
                <c:pt idx="27">
                  <c:v>433058.77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1-4D62-97BB-B4F530CA1232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Sheet2!$C$2:$C$36</c:f>
              <c:numCache>
                <c:formatCode>General</c:formatCode>
                <c:ptCount val="35"/>
                <c:pt idx="27" formatCode="[$R-434]\ #\ ##0.00">
                  <c:v>433058.77</c:v>
                </c:pt>
                <c:pt idx="28" formatCode="[$R-434]\ #\ ##0.00">
                  <c:v>438569.53672408854</c:v>
                </c:pt>
                <c:pt idx="29" formatCode="[$R-434]\ #\ ##0.00">
                  <c:v>443300.55339271919</c:v>
                </c:pt>
                <c:pt idx="30" formatCode="[$R-434]\ #\ ##0.00">
                  <c:v>448047.92150144873</c:v>
                </c:pt>
                <c:pt idx="31" formatCode="[$R-434]\ #\ ##0.00">
                  <c:v>453220.42705275113</c:v>
                </c:pt>
                <c:pt idx="32" formatCode="[$R-434]\ #\ ##0.00">
                  <c:v>457971.79218017159</c:v>
                </c:pt>
                <c:pt idx="33" formatCode="[$R-434]\ #\ ##0.00">
                  <c:v>462835.07383093599</c:v>
                </c:pt>
                <c:pt idx="34" formatCode="[$R-434]\ #\ ##0.00">
                  <c:v>467591.52607305383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1-4D62-97BB-B4F530CA1232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Sheet2!$D$2:$D$36</c:f>
              <c:numCache>
                <c:formatCode>General</c:formatCode>
                <c:ptCount val="35"/>
                <c:pt idx="27" formatCode="[$R-434]\ #\ ##0.00">
                  <c:v>433058.77</c:v>
                </c:pt>
                <c:pt idx="28" formatCode="[$R-434]\ #\ ##0.00">
                  <c:v>314466.19023602846</c:v>
                </c:pt>
                <c:pt idx="29" formatCode="[$R-434]\ #\ ##0.00">
                  <c:v>277208.66101236991</c:v>
                </c:pt>
                <c:pt idx="30" formatCode="[$R-434]\ #\ ##0.00">
                  <c:v>248446.43834932375</c:v>
                </c:pt>
                <c:pt idx="31" formatCode="[$R-434]\ #\ ##0.00">
                  <c:v>222516.18893434361</c:v>
                </c:pt>
                <c:pt idx="32" formatCode="[$R-434]\ #\ ##0.00">
                  <c:v>201952.07764474524</c:v>
                </c:pt>
                <c:pt idx="33" formatCode="[$R-434]\ #\ ##0.00">
                  <c:v>183216.47149609291</c:v>
                </c:pt>
                <c:pt idx="34" formatCode="[$R-434]\ #\ ##0.00">
                  <c:v>166631.49837183201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1-4D62-97BB-B4F530CA1232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Sheet2!$A$2:$A$36</c:f>
              <c:numCache>
                <c:formatCode>[$-409]mmmm\-yy;@</c:formatCode>
                <c:ptCount val="3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45628</c:v>
                </c:pt>
                <c:pt idx="29">
                  <c:v>45659</c:v>
                </c:pt>
                <c:pt idx="30">
                  <c:v>45690</c:v>
                </c:pt>
                <c:pt idx="31">
                  <c:v>45721</c:v>
                </c:pt>
                <c:pt idx="32">
                  <c:v>45752</c:v>
                </c:pt>
                <c:pt idx="33">
                  <c:v>45783</c:v>
                </c:pt>
                <c:pt idx="34">
                  <c:v>45814</c:v>
                </c:pt>
              </c:numCache>
            </c:numRef>
          </c:cat>
          <c:val>
            <c:numRef>
              <c:f>Sheet2!$E$2:$E$36</c:f>
              <c:numCache>
                <c:formatCode>General</c:formatCode>
                <c:ptCount val="35"/>
                <c:pt idx="27" formatCode="[$R-434]\ #\ ##0.00">
                  <c:v>433058.77</c:v>
                </c:pt>
                <c:pt idx="28" formatCode="[$R-434]\ #\ ##0.00">
                  <c:v>562672.88321214868</c:v>
                </c:pt>
                <c:pt idx="29" formatCode="[$R-434]\ #\ ##0.00">
                  <c:v>609392.44577306847</c:v>
                </c:pt>
                <c:pt idx="30" formatCode="[$R-434]\ #\ ##0.00">
                  <c:v>647649.40465357364</c:v>
                </c:pt>
                <c:pt idx="31" formatCode="[$R-434]\ #\ ##0.00">
                  <c:v>683924.66517115862</c:v>
                </c:pt>
                <c:pt idx="32" formatCode="[$R-434]\ #\ ##0.00">
                  <c:v>713991.50671559793</c:v>
                </c:pt>
                <c:pt idx="33" formatCode="[$R-434]\ #\ ##0.00">
                  <c:v>742453.67616577912</c:v>
                </c:pt>
                <c:pt idx="34" formatCode="[$R-434]\ #\ ##0.00">
                  <c:v>768551.55377427558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A1-4D62-97BB-B4F530CA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655104"/>
        <c:axId val="1969655584"/>
      </c:lineChart>
      <c:catAx>
        <c:axId val="196965510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655584"/>
        <c:crosses val="autoZero"/>
        <c:auto val="1"/>
        <c:lblAlgn val="ctr"/>
        <c:lblOffset val="100"/>
        <c:noMultiLvlLbl val="0"/>
      </c:catAx>
      <c:valAx>
        <c:axId val="19696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-434]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65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0</xdr:row>
      <xdr:rowOff>0</xdr:rowOff>
    </xdr:from>
    <xdr:to>
      <xdr:col>14</xdr:col>
      <xdr:colOff>333374</xdr:colOff>
      <xdr:row>23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04D9C-EE08-C961-4091-62A635796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</xdr:row>
      <xdr:rowOff>28575</xdr:rowOff>
    </xdr:from>
    <xdr:to>
      <xdr:col>15</xdr:col>
      <xdr:colOff>434975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0661E6-D17A-399B-1E46-ABBBEDDC0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</xdr:row>
      <xdr:rowOff>28575</xdr:rowOff>
    </xdr:from>
    <xdr:to>
      <xdr:col>15</xdr:col>
      <xdr:colOff>434975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E6536-3F39-4397-1100-31FE1F94E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1</xdr:row>
      <xdr:rowOff>28575</xdr:rowOff>
    </xdr:from>
    <xdr:to>
      <xdr:col>15</xdr:col>
      <xdr:colOff>574675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0D15F8-F081-E486-EEF6-66CDAEEAC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930275</xdr:colOff>
      <xdr:row>1</xdr:row>
      <xdr:rowOff>28575</xdr:rowOff>
    </xdr:from>
    <xdr:to>
      <xdr:col>16</xdr:col>
      <xdr:colOff>117475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79CE63-96C7-55FF-0A98-CD0714613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2</xdr:row>
      <xdr:rowOff>120650</xdr:rowOff>
    </xdr:from>
    <xdr:to>
      <xdr:col>16</xdr:col>
      <xdr:colOff>320675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CC17DE-748B-28D2-4DB8-B2707C8D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2</xdr:row>
      <xdr:rowOff>120650</xdr:rowOff>
    </xdr:from>
    <xdr:to>
      <xdr:col>16</xdr:col>
      <xdr:colOff>320675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F3902-B146-44D2-4602-60030C0C9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1368425</xdr:colOff>
      <xdr:row>2</xdr:row>
      <xdr:rowOff>120650</xdr:rowOff>
    </xdr:from>
    <xdr:to>
      <xdr:col>16</xdr:col>
      <xdr:colOff>555625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15F729-429F-D5C6-5593-1657A7D5A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930275</xdr:colOff>
      <xdr:row>1</xdr:row>
      <xdr:rowOff>28575</xdr:rowOff>
    </xdr:from>
    <xdr:to>
      <xdr:col>16</xdr:col>
      <xdr:colOff>117475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44968E-0753-3F42-6AB4-63C05B8D4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1</xdr:row>
      <xdr:rowOff>28575</xdr:rowOff>
    </xdr:from>
    <xdr:to>
      <xdr:col>16</xdr:col>
      <xdr:colOff>320675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91A83-EC67-D68E-F5EC-F82FB3E07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1</xdr:row>
      <xdr:rowOff>28575</xdr:rowOff>
    </xdr:from>
    <xdr:to>
      <xdr:col>16</xdr:col>
      <xdr:colOff>320675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325DE9-AA7D-D022-3238-6D9ADA9A8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138112</xdr:rowOff>
    </xdr:from>
    <xdr:to>
      <xdr:col>4</xdr:col>
      <xdr:colOff>1076325</xdr:colOff>
      <xdr:row>16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2844A8-AA2B-8629-7541-533847996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11</xdr:row>
      <xdr:rowOff>90487</xdr:rowOff>
    </xdr:from>
    <xdr:to>
      <xdr:col>15</xdr:col>
      <xdr:colOff>352425</xdr:colOff>
      <xdr:row>26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DAC84-E545-52CA-F595-7C2887D69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</xdr:row>
      <xdr:rowOff>11430</xdr:rowOff>
    </xdr:from>
    <xdr:to>
      <xdr:col>19</xdr:col>
      <xdr:colOff>276225</xdr:colOff>
      <xdr:row>24</xdr:row>
      <xdr:rowOff>20955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1C74B3-2997-E4AD-96A8-41E330CD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31</xdr:row>
      <xdr:rowOff>183572</xdr:rowOff>
    </xdr:from>
    <xdr:to>
      <xdr:col>9</xdr:col>
      <xdr:colOff>162790</xdr:colOff>
      <xdr:row>51</xdr:row>
      <xdr:rowOff>31172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495BA7-11D2-EA4E-1F30-D70E32ACD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0</xdr:row>
      <xdr:rowOff>157162</xdr:rowOff>
    </xdr:from>
    <xdr:to>
      <xdr:col>4</xdr:col>
      <xdr:colOff>876300</xdr:colOff>
      <xdr:row>16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4D7DD-B545-A804-05A2-8D0CBCBC5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271462</xdr:colOff>
      <xdr:row>0</xdr:row>
      <xdr:rowOff>166687</xdr:rowOff>
    </xdr:from>
    <xdr:to>
      <xdr:col>8</xdr:col>
      <xdr:colOff>414337</xdr:colOff>
      <xdr:row>16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9112E2-5E10-A99C-3AA5-BC45B0530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300037</xdr:colOff>
      <xdr:row>1</xdr:row>
      <xdr:rowOff>4762</xdr:rowOff>
    </xdr:from>
    <xdr:to>
      <xdr:col>8</xdr:col>
      <xdr:colOff>338137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50D064-A1BF-525F-28C0-54A9D60A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</xdr:colOff>
      <xdr:row>0</xdr:row>
      <xdr:rowOff>185737</xdr:rowOff>
    </xdr:from>
    <xdr:to>
      <xdr:col>8</xdr:col>
      <xdr:colOff>242887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1297F5-19A3-E807-A0FB-799B73D4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</xdr:colOff>
      <xdr:row>1</xdr:row>
      <xdr:rowOff>42862</xdr:rowOff>
    </xdr:from>
    <xdr:to>
      <xdr:col>8</xdr:col>
      <xdr:colOff>366712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3F7561-7391-024C-CDF3-CC7846DAD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11</xdr:row>
      <xdr:rowOff>90487</xdr:rowOff>
    </xdr:from>
    <xdr:to>
      <xdr:col>16</xdr:col>
      <xdr:colOff>409575</xdr:colOff>
      <xdr:row>26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D0BF8B-FE3D-094B-6216-822F75CD3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1</xdr:row>
      <xdr:rowOff>28575</xdr:rowOff>
    </xdr:from>
    <xdr:to>
      <xdr:col>16</xdr:col>
      <xdr:colOff>320675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5F28F0-8176-0ABC-9A81-9433A218F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entllec-my.sharepoint.com/personal/simphiwe_sixeki_centlec_co_za/Documents/InspectionFormTest/TariffRelatedStories/TariffApplication%202025-26/RE_%20ANNEXURE%20A%20Approved/Annexure%20H%20-%20Bulk%20Purchases%20MMM%202025-26-27-28%20Revised%20to%2011,32%25%20Updated%20projections%20ofApr%20and%20May%202024-25FY.xlsx" TargetMode="External"/><Relationship Id="rId2" Type="http://schemas.microsoft.com/office/2019/04/relationships/externalLinkLongPath" Target="/personal/simphiwe_sixeki_centlec_co_za/Documents/InspectionFormTest/TariffRelatedStories/TariffApplication%202025-26/RE_%20ANNEXURE%20A%20Approved/Annexure%20H%20-%20Bulk%20Purchases%20MMM%202025-26-27-28%20Revised%20to%2011,32%25%20Updated%20projections%20ofApr%20and%20May%202024-25FY.xlsx?4CFA1F57" TargetMode="External"/><Relationship Id="rId1" Type="http://schemas.openxmlformats.org/officeDocument/2006/relationships/externalLinkPath" Target="file:///\\4CFA1F57\Annexure%20H%20-%20Bulk%20Purchases%20MMM%202025-26-27-28%20Revised%20to%2011,32%25%20Updated%20projections%20ofApr%20and%20May%202024-25F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MMARY &amp; FBE"/>
      <sheetName val="MMM 20182019 Bulk Purchases"/>
      <sheetName val="MMM 20182019 BulkPurchases R91m"/>
      <sheetName val="MMM 20212022"/>
      <sheetName val="MMM 20202021 Bulk Purchases"/>
      <sheetName val="MMM 20212022 Bulk Purchases"/>
      <sheetName val="MMM 20222023 Bulk Purchases"/>
      <sheetName val="Table010 (Page 2)"/>
      <sheetName val="Table010 (Page 2) (3)"/>
      <sheetName val="BfnProj"/>
      <sheetName val="BotsProjec"/>
      <sheetName val="ThabPr"/>
      <sheetName val="vanst"/>
      <sheetName val="dewe"/>
      <sheetName val="Wep"/>
      <sheetName val="kana"/>
      <sheetName val="igom"/>
      <sheetName val="Sheet2"/>
      <sheetName val="Sheet3"/>
      <sheetName val="Sheet4"/>
      <sheetName val="Sheet5"/>
      <sheetName val="Sheet6"/>
      <sheetName val="Sheet9"/>
      <sheetName val="Sheet10"/>
      <sheetName val="Sheet13"/>
      <sheetName val="Sheet8"/>
      <sheetName val="Sheet7"/>
      <sheetName val="Sheet11"/>
      <sheetName val="Sheet12"/>
      <sheetName val="Sheet14"/>
      <sheetName val="Sheet15"/>
      <sheetName val="Sheet1"/>
      <sheetName val="MMM 20232024 Bulk Purchases"/>
      <sheetName val="MMM 20242025 Bulk Purchases1stP"/>
      <sheetName val="20242025BudgetAdj R81 mil"/>
      <sheetName val="Sheet16"/>
      <sheetName val="20242025BudgetAdjustment"/>
      <sheetName val="MMM 20252026 Bulk Purchases "/>
      <sheetName val="MMM 20262027 Bulk Purchases"/>
      <sheetName val="MMM 20272028 Bulk Purc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B4">
            <v>305425605.16000003</v>
          </cell>
          <cell r="C4">
            <v>293421324.94999999</v>
          </cell>
          <cell r="D4">
            <v>184400628.78</v>
          </cell>
          <cell r="E4">
            <v>154894645.19</v>
          </cell>
          <cell r="F4">
            <v>159086357.16</v>
          </cell>
          <cell r="G4">
            <v>145541861.58000001</v>
          </cell>
          <cell r="H4">
            <v>151214634.19</v>
          </cell>
          <cell r="I4">
            <v>164937904.80000001</v>
          </cell>
          <cell r="J4">
            <v>117721822.41</v>
          </cell>
          <cell r="K4">
            <v>157937639.59</v>
          </cell>
          <cell r="L4">
            <v>165228602.72999999</v>
          </cell>
          <cell r="M4">
            <v>214683016.25184512</v>
          </cell>
        </row>
        <row r="5">
          <cell r="B5">
            <v>36471456.740000002</v>
          </cell>
          <cell r="C5">
            <v>42635932.229999997</v>
          </cell>
          <cell r="D5">
            <v>32930432.5</v>
          </cell>
          <cell r="E5">
            <v>23911952.460000001</v>
          </cell>
          <cell r="F5">
            <v>24177668.98</v>
          </cell>
          <cell r="G5">
            <v>23851506.399999999</v>
          </cell>
          <cell r="H5">
            <v>23365982.920000002</v>
          </cell>
          <cell r="I5">
            <v>25812851.73</v>
          </cell>
          <cell r="J5">
            <v>23975607</v>
          </cell>
          <cell r="K5">
            <v>24997353.469999999</v>
          </cell>
          <cell r="L5">
            <v>24147051.210000001</v>
          </cell>
          <cell r="M5">
            <v>33767084.729999997</v>
          </cell>
        </row>
        <row r="6">
          <cell r="B6">
            <v>224675.87</v>
          </cell>
          <cell r="C6">
            <v>254873.98</v>
          </cell>
          <cell r="D6">
            <v>254873.98</v>
          </cell>
          <cell r="E6">
            <v>246738.36</v>
          </cell>
          <cell r="F6">
            <v>254873.98</v>
          </cell>
          <cell r="G6">
            <v>249914.92</v>
          </cell>
          <cell r="H6">
            <v>1133309.6499999999</v>
          </cell>
          <cell r="I6">
            <v>1416887.21</v>
          </cell>
          <cell r="J6">
            <v>1369707.9</v>
          </cell>
          <cell r="K6">
            <v>1588982.89</v>
          </cell>
          <cell r="L6">
            <v>1681019.8</v>
          </cell>
          <cell r="M6">
            <v>3389101.08</v>
          </cell>
        </row>
        <row r="7">
          <cell r="B7">
            <v>2583645.4500000002</v>
          </cell>
          <cell r="C7">
            <v>2951042.5</v>
          </cell>
          <cell r="D7">
            <v>2385073.5699999998</v>
          </cell>
          <cell r="E7">
            <v>1765172.1</v>
          </cell>
          <cell r="F7">
            <v>1873528.83</v>
          </cell>
          <cell r="G7">
            <v>1955554.11</v>
          </cell>
          <cell r="H7">
            <v>1975337.94</v>
          </cell>
          <cell r="I7">
            <v>1973078.59</v>
          </cell>
          <cell r="J7">
            <v>1685614.15</v>
          </cell>
          <cell r="K7">
            <v>1826243.71</v>
          </cell>
          <cell r="L7">
            <v>1977589.24</v>
          </cell>
          <cell r="M7">
            <v>2638635.71</v>
          </cell>
        </row>
        <row r="8">
          <cell r="B8">
            <v>467596.98</v>
          </cell>
          <cell r="C8">
            <v>550530.6</v>
          </cell>
          <cell r="D8">
            <v>516122.44</v>
          </cell>
          <cell r="E8">
            <v>516122.44</v>
          </cell>
          <cell r="F8">
            <v>533326.52</v>
          </cell>
          <cell r="G8">
            <v>516122.44</v>
          </cell>
          <cell r="H8">
            <v>567734.68999999994</v>
          </cell>
          <cell r="I8">
            <v>481714.28</v>
          </cell>
          <cell r="J8">
            <v>481714.28</v>
          </cell>
          <cell r="K8">
            <v>573756.11</v>
          </cell>
          <cell r="L8">
            <v>661272.14</v>
          </cell>
          <cell r="M8">
            <v>661272.14</v>
          </cell>
        </row>
        <row r="9">
          <cell r="B9">
            <v>7744.28</v>
          </cell>
          <cell r="C9">
            <v>8062.33</v>
          </cell>
          <cell r="D9">
            <v>8062.33</v>
          </cell>
          <cell r="E9">
            <v>7801.24</v>
          </cell>
          <cell r="F9">
            <v>8062.33</v>
          </cell>
          <cell r="G9">
            <v>7801.24</v>
          </cell>
          <cell r="H9">
            <v>8062.33</v>
          </cell>
          <cell r="I9">
            <v>8240.5560000000005</v>
          </cell>
          <cell r="J9">
            <v>8374.94</v>
          </cell>
          <cell r="K9">
            <v>9271.68</v>
          </cell>
          <cell r="L9">
            <v>8971.43</v>
          </cell>
          <cell r="M9">
            <v>8576.2219999999998</v>
          </cell>
        </row>
        <row r="19">
          <cell r="B19">
            <v>512614.61</v>
          </cell>
          <cell r="C19">
            <v>512614.61</v>
          </cell>
          <cell r="D19">
            <v>571562.80000000005</v>
          </cell>
          <cell r="E19">
            <v>419432.71</v>
          </cell>
          <cell r="F19">
            <v>433058.77</v>
          </cell>
          <cell r="G19">
            <v>410348.51</v>
          </cell>
          <cell r="H19">
            <v>437284.76</v>
          </cell>
          <cell r="I19">
            <v>432220.6</v>
          </cell>
          <cell r="J19">
            <v>381907.3</v>
          </cell>
          <cell r="K19">
            <v>434317.87</v>
          </cell>
          <cell r="L19">
            <v>427706.07</v>
          </cell>
          <cell r="M19">
            <v>493438.52</v>
          </cell>
        </row>
        <row r="20">
          <cell r="B20">
            <v>2210945.39</v>
          </cell>
          <cell r="C20">
            <v>2210945.39</v>
          </cell>
          <cell r="D20">
            <v>2865458.93</v>
          </cell>
          <cell r="E20">
            <v>1446375.72</v>
          </cell>
          <cell r="F20">
            <v>1493752.24</v>
          </cell>
          <cell r="G20">
            <v>1358688.37</v>
          </cell>
          <cell r="H20">
            <v>1396734.85</v>
          </cell>
          <cell r="I20">
            <v>1470241.16</v>
          </cell>
          <cell r="J20">
            <v>1285918.92</v>
          </cell>
          <cell r="K20">
            <v>1456534.99</v>
          </cell>
          <cell r="L20">
            <v>1523020.45</v>
          </cell>
          <cell r="M20">
            <v>2256771.2400000002</v>
          </cell>
        </row>
        <row r="21">
          <cell r="B21">
            <v>831567.22</v>
          </cell>
          <cell r="C21">
            <v>831567.22</v>
          </cell>
          <cell r="D21">
            <v>976963.01</v>
          </cell>
          <cell r="E21">
            <v>525094.05000000005</v>
          </cell>
          <cell r="F21">
            <v>509659.32</v>
          </cell>
          <cell r="G21">
            <v>460432.08</v>
          </cell>
          <cell r="H21">
            <v>495671.28</v>
          </cell>
          <cell r="I21">
            <v>477483.49</v>
          </cell>
          <cell r="J21">
            <v>447796.87</v>
          </cell>
          <cell r="K21">
            <v>483211.32</v>
          </cell>
          <cell r="L21">
            <v>532554.82999999996</v>
          </cell>
          <cell r="M21">
            <v>770999.15</v>
          </cell>
        </row>
        <row r="22">
          <cell r="B22">
            <v>150836.26</v>
          </cell>
          <cell r="C22">
            <v>167575.67000000001</v>
          </cell>
          <cell r="D22">
            <v>130918.16</v>
          </cell>
          <cell r="E22">
            <v>105398.82</v>
          </cell>
          <cell r="F22">
            <v>105847.58</v>
          </cell>
          <cell r="G22">
            <v>96007.4</v>
          </cell>
          <cell r="H22">
            <v>110168.43</v>
          </cell>
          <cell r="I22">
            <v>107276.44</v>
          </cell>
          <cell r="J22">
            <v>96521.79</v>
          </cell>
          <cell r="K22">
            <v>112143.24</v>
          </cell>
          <cell r="L22">
            <v>122224.61</v>
          </cell>
          <cell r="M22">
            <v>165424.54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A31ECB3-127A-46EC-B8CF-7E57FAC462CB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2509F044-3D17-4B16-A4DB-A9161EC4D869}" autoFormatId="16" applyNumberFormats="0" applyBorderFormats="0" applyFontFormats="0" applyPatternFormats="0" applyAlignmentFormats="0" applyWidthHeightFormats="0">
  <queryTableRefresh nextId="7">
    <queryTableFields count="6">
      <queryTableField id="1" name="CONSUMPTION DETAILS" tableColumnId="1"/>
      <queryTableField id="2" name="(2023-06-28 - 2023-07-27)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6398A3-445D-47E8-988E-A65D2A325E29}" name="Table010__Page_2" displayName="Table010__Page_2" ref="A1:F41" tableType="queryTable" totalsRowShown="0">
  <autoFilter ref="A1:F41" xr:uid="{866398A3-445D-47E8-988E-A65D2A325E29}"/>
  <tableColumns count="6">
    <tableColumn id="1" xr3:uid="{A47B5A74-FAA7-4B5D-B453-364D20B51DCB}" uniqueName="1" name="Column1" queryTableFieldId="1" dataDxfId="105"/>
    <tableColumn id="2" xr3:uid="{DDF86A93-2C44-4237-8938-F7F2AE07BDEF}" uniqueName="2" name="Column2" queryTableFieldId="2" dataDxfId="104"/>
    <tableColumn id="3" xr3:uid="{64BDA464-B72A-4C38-8DE9-8A295412F97A}" uniqueName="3" name="Column3" queryTableFieldId="3" dataDxfId="103"/>
    <tableColumn id="4" xr3:uid="{D3CA2A0D-B985-452B-8641-90D3A738A5C4}" uniqueName="4" name="Column4" queryTableFieldId="4" dataDxfId="102"/>
    <tableColumn id="5" xr3:uid="{3FE5A333-14D9-4915-B334-C5CF570A385A}" uniqueName="5" name="Column5" queryTableFieldId="5" dataDxfId="101"/>
    <tableColumn id="6" xr3:uid="{23DDB177-D830-4792-9A9B-4FC8ADD08C72}" uniqueName="6" name="Column6" queryTableFieldId="6" dataDxfId="10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8EC6A9B-D32D-4582-9E43-0A8639166BD1}" name="Table11" displayName="Table11" ref="G1:H8" totalsRowShown="0">
  <autoFilter ref="G1:H8" xr:uid="{48EC6A9B-D32D-4582-9E43-0A8639166BD1}"/>
  <tableColumns count="2">
    <tableColumn id="1" xr3:uid="{6AD2AD2E-CC46-41FB-94B6-E1A79119D410}" name="Statistic"/>
    <tableColumn id="2" xr3:uid="{8CF1B31F-141B-4ADD-94D3-3C56A0E947D1}" name="Value" dataDxfId="7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C2E2427-17E3-418D-8F4E-B4A83D50433B}" name="Table12" displayName="Table12" ref="A1:E25" totalsRowShown="0">
  <autoFilter ref="A1:E25" xr:uid="{3C2E2427-17E3-418D-8F4E-B4A83D50433B}"/>
  <tableColumns count="5">
    <tableColumn id="1" xr3:uid="{A11000FD-BB45-4B63-ACA2-E905963F4E0E}" name="Timeline" dataDxfId="74"/>
    <tableColumn id="2" xr3:uid="{456F17DD-4D83-45B9-89F9-F7B814E4BD5A}" name="Values"/>
    <tableColumn id="3" xr3:uid="{751C33DF-0D6A-4DAE-98A4-89270444298F}" name="Forecast" dataDxfId="73">
      <calculatedColumnFormula>_xlfn.FORECAST.ETS(A2,$B$2:$B$20,$A$2:$A$20,1,1)</calculatedColumnFormula>
    </tableColumn>
    <tableColumn id="4" xr3:uid="{8D80B738-C51B-4B59-9C57-542DDD2B5A42}" name="Lower Confidence Bound" dataDxfId="72">
      <calculatedColumnFormula>C2-_xlfn.FORECAST.ETS.CONFINT(A2,$B$2:$B$20,$A$2:$A$20,0.95,1,1)</calculatedColumnFormula>
    </tableColumn>
    <tableColumn id="5" xr3:uid="{51FA610D-6CCC-455E-A732-288CD8EA9EE9}" name="Upper Confidence Bound" dataDxfId="71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141263E-E13A-4F20-BFCC-F1B09E45C918}" name="Table13" displayName="Table13" ref="G1:H8" totalsRowShown="0">
  <autoFilter ref="G1:H8" xr:uid="{D141263E-E13A-4F20-BFCC-F1B09E45C918}"/>
  <tableColumns count="2">
    <tableColumn id="1" xr3:uid="{FF7151BD-0858-4658-9EB9-76591179A8CE}" name="Statistic"/>
    <tableColumn id="2" xr3:uid="{442F1E3A-3FAB-4E0A-B5E9-E89EA19DA685}" name="Value" dataDxfId="7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9D5EC0-9E5E-47B5-9DC8-B531667B303A}" name="Table14" displayName="Table14" ref="A1:E25" totalsRowShown="0">
  <autoFilter ref="A1:E25" xr:uid="{C29D5EC0-9E5E-47B5-9DC8-B531667B303A}"/>
  <tableColumns count="5">
    <tableColumn id="1" xr3:uid="{8FAE4394-D700-4606-80CA-3EA29AA2A805}" name="Timeline" dataDxfId="69"/>
    <tableColumn id="2" xr3:uid="{C1F02AB0-7644-4690-9313-1FA456F2C729}" name="Values"/>
    <tableColumn id="3" xr3:uid="{33A1D131-2BF9-436D-910C-98F2331D3D25}" name="Forecast" dataDxfId="68">
      <calculatedColumnFormula>_xlfn.FORECAST.ETS(A2,$B$2:$B$20,$A$2:$A$20,1,1)</calculatedColumnFormula>
    </tableColumn>
    <tableColumn id="4" xr3:uid="{7DB02EEB-C766-4BDB-86BE-637D227DE2F8}" name="Lower Confidence Bound" dataDxfId="67">
      <calculatedColumnFormula>C2-_xlfn.FORECAST.ETS.CONFINT(A2,$B$2:$B$20,$A$2:$A$20,0.95,1,1)</calculatedColumnFormula>
    </tableColumn>
    <tableColumn id="5" xr3:uid="{A40E55BE-CEFA-400B-8160-A22E1ED1B43D}" name="Upper Confidence Bound" dataDxfId="66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66AB2F8-B9F5-4319-8AAA-A7C928356483}" name="Table15" displayName="Table15" ref="G1:H8" totalsRowShown="0">
  <autoFilter ref="G1:H8" xr:uid="{566AB2F8-B9F5-4319-8AAA-A7C928356483}"/>
  <tableColumns count="2">
    <tableColumn id="1" xr3:uid="{372FCD39-B27A-4A7F-A59B-7F600C1FEC8A}" name="Statistic"/>
    <tableColumn id="2" xr3:uid="{438DE115-E502-45EC-80EE-C7D74F92FDFD}" name="Value" dataDxfId="6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3430FAA-775A-4A23-852D-3787552FE06E}" name="Table16" displayName="Table16" ref="A1:E25" totalsRowShown="0">
  <autoFilter ref="A1:E25" xr:uid="{33430FAA-775A-4A23-852D-3787552FE06E}"/>
  <tableColumns count="5">
    <tableColumn id="1" xr3:uid="{AD922745-E13B-4896-A1BD-46A9C4A59FC9}" name="Timeline" dataDxfId="64"/>
    <tableColumn id="2" xr3:uid="{AC518D73-1C04-4F25-AB44-EE21CFEBDE83}" name="Values"/>
    <tableColumn id="3" xr3:uid="{561A1A9B-6D30-4649-92C4-D83468055063}" name="Forecast" dataDxfId="63">
      <calculatedColumnFormula>_xlfn.FORECAST.ETS(A2,$B$2:$B$20,$A$2:$A$20,1,1)</calculatedColumnFormula>
    </tableColumn>
    <tableColumn id="4" xr3:uid="{C7DBF975-00FC-4C15-88E2-1CCE40FB763A}" name="Lower Confidence Bound" dataDxfId="62">
      <calculatedColumnFormula>C2-_xlfn.FORECAST.ETS.CONFINT(A2,$B$2:$B$20,$A$2:$A$20,0.95,1,1)</calculatedColumnFormula>
    </tableColumn>
    <tableColumn id="5" xr3:uid="{1729B9B8-D6D4-491F-AEAE-6E774BA900F3}" name="Upper Confidence Bound" dataDxfId="61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84EA86A-7726-47D9-B2FA-4FE4963BE310}" name="Table17" displayName="Table17" ref="G1:H8" totalsRowShown="0">
  <autoFilter ref="G1:H8" xr:uid="{384EA86A-7726-47D9-B2FA-4FE4963BE310}"/>
  <tableColumns count="2">
    <tableColumn id="1" xr3:uid="{552CB657-B1A7-4588-A610-8DD0BEA3A99E}" name="Statistic"/>
    <tableColumn id="2" xr3:uid="{DB56EA9F-AC03-4523-AABC-2F75AF11E072}" name="Value" dataDxfId="6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6BC7422-940F-4A2B-AECC-5E445C255075}" name="Table18" displayName="Table18" ref="A1:E24" totalsRowShown="0">
  <autoFilter ref="A1:E24" xr:uid="{56BC7422-940F-4A2B-AECC-5E445C255075}"/>
  <tableColumns count="5">
    <tableColumn id="1" xr3:uid="{5210BCC3-5FED-46E9-8A4D-84EAE8875332}" name="Timeline" dataDxfId="59"/>
    <tableColumn id="2" xr3:uid="{EDD6DC48-959C-4292-9423-AC8CDB4481DB}" name="Values"/>
    <tableColumn id="3" xr3:uid="{3D1711A2-236C-4443-A1EF-EA1B4F2750AB}" name="Forecast" dataDxfId="58">
      <calculatedColumnFormula>_xlfn.FORECAST.ETS(A2,$B$2:$B$19,$A$2:$A$19,1,1)</calculatedColumnFormula>
    </tableColumn>
    <tableColumn id="4" xr3:uid="{C1F8B287-2212-4404-B9BF-6B6B10384DE8}" name="Lower Confidence Bound" dataDxfId="57">
      <calculatedColumnFormula>C2-_xlfn.FORECAST.ETS.CONFINT(A2,$B$2:$B$19,$A$2:$A$19,0.95,1,1)</calculatedColumnFormula>
    </tableColumn>
    <tableColumn id="5" xr3:uid="{DECF87A8-AF70-4E6B-89BE-61FDBF31279F}" name="Upper Confidence Bound" dataDxfId="56">
      <calculatedColumnFormula>C2+_xlfn.FORECAST.ETS.CONFINT(A2,$B$2:$B$19,$A$2:$A$19,0.95,1,1)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A940799-F5B6-4545-9DEF-8AEC7839B0C2}" name="Table19" displayName="Table19" ref="G1:H8" totalsRowShown="0">
  <autoFilter ref="G1:H8" xr:uid="{9A940799-F5B6-4545-9DEF-8AEC7839B0C2}"/>
  <tableColumns count="2">
    <tableColumn id="1" xr3:uid="{F7B1557F-2449-4AF6-939E-E5B8FD26207C}" name="Statistic"/>
    <tableColumn id="2" xr3:uid="{01C3DD02-32C3-433B-880A-F93F9C296256}" name="Value" dataDxfId="5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76ECD4-58F3-4073-8608-222EBD9066D3}" name="Table4" displayName="Table4" ref="A1:E36" totalsRowShown="0">
  <autoFilter ref="A1:E36" xr:uid="{5476ECD4-58F3-4073-8608-222EBD9066D3}"/>
  <tableColumns count="5">
    <tableColumn id="1" xr3:uid="{DCFF1B26-5D7A-4995-B341-96D8CC5DEF17}" name="Timeline" dataDxfId="54"/>
    <tableColumn id="2" xr3:uid="{DC23C949-E03D-44A0-8E8F-72F2C96A71B0}" name="Values"/>
    <tableColumn id="3" xr3:uid="{2CA10CB1-690D-4246-8C71-A74E07B09E8A}" name="Forecast" dataDxfId="53">
      <calculatedColumnFormula>_xlfn.FORECAST.ETS(A2,$B$2:$B$29,$A$2:$A$29,1,1)</calculatedColumnFormula>
    </tableColumn>
    <tableColumn id="4" xr3:uid="{9AD93F4C-FF82-4176-B996-CEB347955178}" name="Lower Confidence Bound" dataDxfId="52">
      <calculatedColumnFormula>C2-_xlfn.FORECAST.ETS.CONFINT(A2,$B$2:$B$29,$A$2:$A$29,0.95,1,1)</calculatedColumnFormula>
    </tableColumn>
    <tableColumn id="5" xr3:uid="{2B833807-FB60-4723-9658-D1235298ED69}" name="Upper Confidence Bound" dataDxfId="51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673859-9674-40D0-A98A-86F5953C4C8B}" name="Table010__Page_2___3" displayName="Table010__Page_2___3" ref="A1:F38" tableType="queryTable" totalsRowShown="0">
  <autoFilter ref="A1:F38" xr:uid="{3B673859-9674-40D0-A98A-86F5953C4C8B}"/>
  <tableColumns count="6">
    <tableColumn id="1" xr3:uid="{196632D4-57AC-4ED9-A768-95D93963F1D8}" uniqueName="1" name="CONSUMPTION DETAILS" queryTableFieldId="1" dataDxfId="99"/>
    <tableColumn id="2" xr3:uid="{1CB9C17C-97BE-4BB2-8CAF-A64FACC4C62E}" uniqueName="2" name="(2023-06-28 - 2023-07-27)" queryTableFieldId="2"/>
    <tableColumn id="3" xr3:uid="{6983CD0D-7A68-4DB5-AA3F-053325E43AE2}" uniqueName="3" name="Column3" queryTableFieldId="3" dataDxfId="98"/>
    <tableColumn id="4" xr3:uid="{E6C9C3B1-E3F7-45C9-901B-B8DCA525F04D}" uniqueName="4" name="Column4" queryTableFieldId="4" dataDxfId="97"/>
    <tableColumn id="5" xr3:uid="{0C49B38B-F85E-4F5C-BC11-5F6D9AB5BCC7}" uniqueName="5" name="Column5" queryTableFieldId="5" dataDxfId="96"/>
    <tableColumn id="6" xr3:uid="{90EA8041-D76C-4CE3-AE5F-FD38A8876B09}" uniqueName="6" name="Column6" queryTableFieldId="6" dataDxfId="95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1B7A8E-476F-41A8-A6D0-4976504339F9}" name="Table20" displayName="Table20" ref="A1:E49" totalsRowShown="0">
  <autoFilter ref="A1:E49" xr:uid="{621B7A8E-476F-41A8-A6D0-4976504339F9}"/>
  <tableColumns count="5">
    <tableColumn id="1" xr3:uid="{0544BB1C-5FF5-47BF-8920-F2C2F03520E0}" name="Timeline" dataDxfId="50"/>
    <tableColumn id="2" xr3:uid="{D2D5F0FA-D736-4DFD-91D0-0A9ADD003314}" name="Values"/>
    <tableColumn id="3" xr3:uid="{9D109F48-7294-42D5-A989-F27D617A13E2}" name="Forecast" dataDxfId="49">
      <calculatedColumnFormula>_xlfn.FORECAST.ETS(A2,$B$2:$B$29,$A$2:$A$29,1,1)</calculatedColumnFormula>
    </tableColumn>
    <tableColumn id="4" xr3:uid="{198DB5CA-26D2-4DC8-84AC-1A999EC6A6F5}" name="Lower Confidence Bound" dataDxfId="48">
      <calculatedColumnFormula>C2-_xlfn.FORECAST.ETS.CONFINT(A2,$B$2:$B$29,$A$2:$A$29,0.95,1,1)</calculatedColumnFormula>
    </tableColumn>
    <tableColumn id="5" xr3:uid="{EC1D4E5C-EEE0-4157-B6A8-977B2D185696}" name="Upper Confidence Bound" dataDxfId="47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A564D47-79D1-4698-A36F-8A5D0011F4B2}" name="Table21" displayName="Table21" ref="A1:E36" totalsRowShown="0">
  <autoFilter ref="A1:E36" xr:uid="{EA564D47-79D1-4698-A36F-8A5D0011F4B2}"/>
  <tableColumns count="5">
    <tableColumn id="1" xr3:uid="{DB566DC5-0E75-4405-BFAC-3FCC3C9C285B}" name="Timeline" dataDxfId="46"/>
    <tableColumn id="2" xr3:uid="{17EA2899-4613-4DDC-B913-474BE64C8189}" name="Values"/>
    <tableColumn id="3" xr3:uid="{ECBE899E-F042-485C-BA4B-F4EC35E3D0A0}" name="Forecast" dataDxfId="45">
      <calculatedColumnFormula>_xlfn.FORECAST.ETS(A2,$B$2:$B$29,$A$2:$A$29,1,1)</calculatedColumnFormula>
    </tableColumn>
    <tableColumn id="4" xr3:uid="{6110D627-1D4F-4251-BE20-E77C6CC5B140}" name="Lower Confidence Bound" dataDxfId="44">
      <calculatedColumnFormula>C2-_xlfn.FORECAST.ETS.CONFINT(A2,$B$2:$B$29,$A$2:$A$29,0.95,1,1)</calculatedColumnFormula>
    </tableColumn>
    <tableColumn id="5" xr3:uid="{BEF81A87-13CE-4B5A-BD0B-2D3A31178172}" name="Upper Confidence Bound" dataDxfId="43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4246553-D7C0-471B-BEF5-E9A02ABF4254}" name="Table22" displayName="Table22" ref="A1:E36" totalsRowShown="0">
  <autoFilter ref="A1:E36" xr:uid="{64246553-D7C0-471B-BEF5-E9A02ABF4254}"/>
  <tableColumns count="5">
    <tableColumn id="1" xr3:uid="{F2953754-F64E-4A61-8C7D-007689E70708}" name="Timeline" dataDxfId="42"/>
    <tableColumn id="2" xr3:uid="{8FCAFD40-3717-4721-97D7-E7FBCC69916F}" name="Values"/>
    <tableColumn id="3" xr3:uid="{D5EA73D4-CD04-4725-92EA-CE3E5F68B014}" name="Forecast" dataDxfId="41">
      <calculatedColumnFormula>_xlfn.FORECAST.ETS(A2,$B$2:$B$29,$A$2:$A$29,1,1)</calculatedColumnFormula>
    </tableColumn>
    <tableColumn id="4" xr3:uid="{FA75BD11-6716-4185-9681-FA84D04B6E9B}" name="Lower Confidence Bound" dataDxfId="40">
      <calculatedColumnFormula>C2-_xlfn.FORECAST.ETS.CONFINT(A2,$B$2:$B$29,$A$2:$A$29,0.95,1,1)</calculatedColumnFormula>
    </tableColumn>
    <tableColumn id="5" xr3:uid="{4B14CFEE-E2C3-4D1B-B210-FAEBA98367FA}" name="Upper Confidence Bound" dataDxfId="39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E2C3E78-6514-4AE0-BEA3-00FDB4358E48}" name="Table23" displayName="Table23" ref="A1:E36" totalsRowShown="0">
  <autoFilter ref="A1:E36" xr:uid="{BE2C3E78-6514-4AE0-BEA3-00FDB4358E48}"/>
  <tableColumns count="5">
    <tableColumn id="1" xr3:uid="{6D64E5B5-5AA9-4284-A5F0-5DD72493B96E}" name="Timeline" dataDxfId="38"/>
    <tableColumn id="2" xr3:uid="{70F04653-3EA5-4990-95AC-58B701DCDA3A}" name="Values"/>
    <tableColumn id="3" xr3:uid="{9B9EF34E-2D42-4927-B0C8-652932902EE3}" name="Forecast" dataDxfId="37">
      <calculatedColumnFormula>_xlfn.FORECAST.ETS(A2,$B$2:$B$29,$A$2:$A$29,1,1)</calculatedColumnFormula>
    </tableColumn>
    <tableColumn id="4" xr3:uid="{2E358817-5E74-47C1-9CD4-E708EE830ADF}" name="Lower Confidence Bound" dataDxfId="36">
      <calculatedColumnFormula>C2-_xlfn.FORECAST.ETS.CONFINT(A2,$B$2:$B$29,$A$2:$A$29,0.95,1,1)</calculatedColumnFormula>
    </tableColumn>
    <tableColumn id="5" xr3:uid="{E3981AB8-A7C7-42FD-B34B-CFB5F218ABF4}" name="Upper Confidence Bound" dataDxfId="35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CF76194-25EE-4649-A2FE-215EC04B4E44}" name="Table25" displayName="Table25" ref="A1:E36" totalsRowShown="0">
  <autoFilter ref="A1:E36" xr:uid="{BCF76194-25EE-4649-A2FE-215EC04B4E44}"/>
  <tableColumns count="5">
    <tableColumn id="1" xr3:uid="{5FA4E6DC-5E9C-4323-9733-3A7139A248D5}" name="Timeline" dataDxfId="34"/>
    <tableColumn id="2" xr3:uid="{BBCC6F0B-3E5B-48C6-8021-10005E08EBD1}" name="Values"/>
    <tableColumn id="3" xr3:uid="{CA9FFA33-44F6-41A2-93EB-11FCEEF33892}" name="Forecast" dataDxfId="33">
      <calculatedColumnFormula>_xlfn.FORECAST.ETS(A2,$B$2:$B$29,$A$2:$A$29,1,1)</calculatedColumnFormula>
    </tableColumn>
    <tableColumn id="4" xr3:uid="{A20C3A6A-209A-4B69-BA16-BB8FCEEB394A}" name="Lower Confidence Bound" dataDxfId="32">
      <calculatedColumnFormula>C2-_xlfn.FORECAST.ETS.CONFINT(A2,$B$2:$B$29,$A$2:$A$29,0.95,1,1)</calculatedColumnFormula>
    </tableColumn>
    <tableColumn id="5" xr3:uid="{B85083B4-7B7F-40E4-8EEB-49F1070B4EA1}" name="Upper Confidence Bound" dataDxfId="31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E2ADBAA-24B5-4B4C-BD68-AF130116E269}" name="Table26" displayName="Table26" ref="A1:E36" totalsRowShown="0">
  <autoFilter ref="A1:E36" xr:uid="{8E2ADBAA-24B5-4B4C-BD68-AF130116E269}"/>
  <tableColumns count="5">
    <tableColumn id="1" xr3:uid="{30B6BD20-A937-4B81-BD9C-9D464082251B}" name="Timeline" dataDxfId="30"/>
    <tableColumn id="2" xr3:uid="{2F9F2A8F-E74D-40B0-ABE2-F785179480CF}" name="Values"/>
    <tableColumn id="3" xr3:uid="{0270D47F-1A0D-4A9E-A867-E93513CF9E09}" name="Forecast" dataDxfId="29">
      <calculatedColumnFormula>_xlfn.FORECAST.ETS(A2,$B$2:$B$29,$A$2:$A$29,1,1)</calculatedColumnFormula>
    </tableColumn>
    <tableColumn id="4" xr3:uid="{453A0839-8FF8-4545-842B-89411A34B070}" name="Lower Confidence Bound" dataDxfId="28">
      <calculatedColumnFormula>C2-_xlfn.FORECAST.ETS.CONFINT(A2,$B$2:$B$29,$A$2:$A$29,0.95,1,1)</calculatedColumnFormula>
    </tableColumn>
    <tableColumn id="5" xr3:uid="{63BCBB05-F2D2-4E50-91AC-1EE6AA1D2FD8}" name="Upper Confidence Bound" dataDxfId="27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DEB9A34-764B-4315-A6C6-31AB222377F7}" name="Table29" displayName="Table29" ref="A1:E36" totalsRowShown="0">
  <autoFilter ref="A1:E36" xr:uid="{7DEB9A34-764B-4315-A6C6-31AB222377F7}"/>
  <tableColumns count="5">
    <tableColumn id="1" xr3:uid="{14D40B88-08D8-4B3C-95E5-BA35D8529204}" name="Timeline" dataDxfId="26"/>
    <tableColumn id="2" xr3:uid="{8EB3FEE9-570B-48C9-988A-D49CD7C3B495}" name="Values"/>
    <tableColumn id="3" xr3:uid="{52443C21-5927-4EE1-8699-DCA9E232FCB5}" name="Forecast" dataDxfId="25">
      <calculatedColumnFormula>_xlfn.FORECAST.ETS(A2,$B$2:$B$29,$A$2:$A$29,1,1)</calculatedColumnFormula>
    </tableColumn>
    <tableColumn id="4" xr3:uid="{8CD4C65F-101C-44FF-8F0C-07708F2CF6D8}" name="Lower Confidence Bound" dataDxfId="24">
      <calculatedColumnFormula>C2-_xlfn.FORECAST.ETS.CONFINT(A2,$B$2:$B$29,$A$2:$A$29,0.95,1,1)</calculatedColumnFormula>
    </tableColumn>
    <tableColumn id="5" xr3:uid="{E31CB1C6-567D-4231-A2E0-5F785A58333B}" name="Upper Confidence Bound" dataDxfId="23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1AD9FF3-04A9-4349-91BD-BB3DEEA45AD2}" name="Table24" displayName="Table24" ref="A1:E36" totalsRowShown="0">
  <autoFilter ref="A1:E36" xr:uid="{61AD9FF3-04A9-4349-91BD-BB3DEEA45AD2}"/>
  <tableColumns count="5">
    <tableColumn id="1" xr3:uid="{02D36C2A-1D3C-47DC-ABBE-17DD2694326F}" name="Timeline" dataDxfId="22"/>
    <tableColumn id="2" xr3:uid="{925C17E3-A315-4702-B95C-4F47B90FAE2D}" name="Values"/>
    <tableColumn id="3" xr3:uid="{E57B28EE-89BE-47D6-9858-6D86303B3697}" name="Forecast" dataDxfId="21">
      <calculatedColumnFormula>_xlfn.FORECAST.ETS(A2,$B$2:$B$29,$A$2:$A$29,1,1)</calculatedColumnFormula>
    </tableColumn>
    <tableColumn id="4" xr3:uid="{FAB417B0-0DC0-4B96-846D-906D9D02A538}" name="Lower Confidence Bound" dataDxfId="20">
      <calculatedColumnFormula>C2-_xlfn.FORECAST.ETS.CONFINT(A2,$B$2:$B$29,$A$2:$A$29,0.95,1,1)</calculatedColumnFormula>
    </tableColumn>
    <tableColumn id="5" xr3:uid="{EDF48734-9891-42A9-87A2-394F53D0F8AA}" name="Upper Confidence Bound" dataDxfId="19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9907B5-CB67-47A9-AB3D-3DDB0536CAD5}" name="Table27" displayName="Table27" ref="A1:E36" totalsRowShown="0">
  <autoFilter ref="A1:E36" xr:uid="{629907B5-CB67-47A9-AB3D-3DDB0536CAD5}"/>
  <tableColumns count="5">
    <tableColumn id="1" xr3:uid="{D18188FE-ABDD-4B40-A900-84063676415C}" name="Timeline" dataDxfId="18"/>
    <tableColumn id="2" xr3:uid="{AB39F52C-48DD-4C32-8CEC-87D6D2D0179C}" name="Values"/>
    <tableColumn id="3" xr3:uid="{1FA005DE-2EBE-47A8-A5AA-6BD28B204000}" name="Forecast" dataDxfId="17">
      <calculatedColumnFormula>_xlfn.FORECAST.ETS(A2,$B$2:$B$29,$A$2:$A$29,1,1)</calculatedColumnFormula>
    </tableColumn>
    <tableColumn id="4" xr3:uid="{09B9ADB3-B9FF-477D-992A-6018494457EA}" name="Lower Confidence Bound" dataDxfId="16">
      <calculatedColumnFormula>C2-_xlfn.FORECAST.ETS.CONFINT(A2,$B$2:$B$29,$A$2:$A$29,0.95,1,1)</calculatedColumnFormula>
    </tableColumn>
    <tableColumn id="5" xr3:uid="{92C407BD-60FF-4515-BA78-C08CB3F51F55}" name="Upper Confidence Bound" dataDxfId="15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FA9AE97-362B-4917-9915-7761AA48C561}" name="Table28" displayName="Table28" ref="A1:E36" totalsRowShown="0">
  <autoFilter ref="A1:E36" xr:uid="{DFA9AE97-362B-4917-9915-7761AA48C561}"/>
  <tableColumns count="5">
    <tableColumn id="1" xr3:uid="{D41D5ACA-21AA-411A-A3B7-56180CD667F0}" name="Timeline" dataDxfId="14"/>
    <tableColumn id="2" xr3:uid="{D2067AD7-B09F-458C-896A-8B4889E661F7}" name="Values"/>
    <tableColumn id="3" xr3:uid="{C53E083E-5332-45CF-AD0C-4F3004DEDBA3}" name="Forecast" dataDxfId="13">
      <calculatedColumnFormula>_xlfn.FORECAST.ETS(A2,$B$2:$B$29,$A$2:$A$29,1,1)</calculatedColumnFormula>
    </tableColumn>
    <tableColumn id="4" xr3:uid="{C23DF677-F634-48A0-B3D4-8D10AFBE6517}" name="Lower Confidence Bound" dataDxfId="12">
      <calculatedColumnFormula>C2-_xlfn.FORECAST.ETS.CONFINT(A2,$B$2:$B$29,$A$2:$A$29,0.95,1,1)</calculatedColumnFormula>
    </tableColumn>
    <tableColumn id="5" xr3:uid="{A12C0800-5978-4E0F-AA9B-47C3B7B18AB9}" name="Upper Confidence Bound" dataDxfId="11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DD0CD-A2CF-4C44-9C11-3B2FF7E8A787}" name="Table1" displayName="Table1" ref="A1:E24" totalsRowShown="0">
  <autoFilter ref="A1:E24" xr:uid="{6C8DD0CD-A2CF-4C44-9C11-3B2FF7E8A787}"/>
  <tableColumns count="5">
    <tableColumn id="1" xr3:uid="{3762AA99-C088-449D-9B03-3E8323653616}" name="Month" dataDxfId="94"/>
    <tableColumn id="2" xr3:uid="{87C05095-6374-4775-BE8B-3AE75F3218D2}" name="Megaflex - Bloemfontein"/>
    <tableColumn id="3" xr3:uid="{7714662C-9203-45E3-A172-81789D355098}" name="Forecast(Megaflex - Bloemfontein)" dataDxfId="93">
      <calculatedColumnFormula>_xlfn.FORECAST.ETS(A2,$B$2:$B$19,$A$2:$A$19,1,1)</calculatedColumnFormula>
    </tableColumn>
    <tableColumn id="4" xr3:uid="{0237F59C-6639-4558-A247-12FB8F2504E5}" name="Lower Confidence Bound(Megaflex - Bloemfontein)" dataDxfId="92">
      <calculatedColumnFormula>C2-_xlfn.FORECAST.ETS.CONFINT(A2,$B$2:$B$19,$A$2:$A$19,0.95,1,1)</calculatedColumnFormula>
    </tableColumn>
    <tableColumn id="5" xr3:uid="{52189A4A-D5BE-42A5-978F-67E09E5B4DA6}" name="Upper Confidence Bound(Megaflex - Bloemfontein)" dataDxfId="91">
      <calculatedColumnFormula>C2+_xlfn.FORECAST.ETS.CONFINT(A2,$B$2:$B$19,$A$2:$A$19,0.95,1,1)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642C3E4-C03F-4307-8D50-3388DA071B58}" name="Table30" displayName="Table30" ref="A1:E36" totalsRowShown="0">
  <autoFilter ref="A1:E36" xr:uid="{1642C3E4-C03F-4307-8D50-3388DA071B58}"/>
  <tableColumns count="5">
    <tableColumn id="1" xr3:uid="{84B92FE1-9853-4438-AB81-796412E1D9EA}" name="Timeline" dataDxfId="10"/>
    <tableColumn id="2" xr3:uid="{F567D321-740C-44EE-8B16-B67F4F73B16C}" name="Values"/>
    <tableColumn id="3" xr3:uid="{6E40733C-F55C-4888-B147-CA3C34D300CA}" name="Forecast" dataDxfId="9">
      <calculatedColumnFormula>_xlfn.FORECAST.ETS(A2,$B$2:$B$29,$A$2:$A$29,1,1)</calculatedColumnFormula>
    </tableColumn>
    <tableColumn id="4" xr3:uid="{80003422-9D32-4B3E-8F94-E18A634C9127}" name="Lower Confidence Bound" dataDxfId="8">
      <calculatedColumnFormula>C2-_xlfn.FORECAST.ETS.CONFINT(A2,$B$2:$B$29,$A$2:$A$29,0.95,1,1)</calculatedColumnFormula>
    </tableColumn>
    <tableColumn id="5" xr3:uid="{C9B66749-3AD0-492E-A6DD-311A3CD34F6E}" name="Upper Confidence Bound" dataDxfId="7">
      <calculatedColumnFormula>C2+_xlfn.FORECAST.ETS.CONFINT(A2,$B$2:$B$29,$A$2:$A$29,0.95,1,1)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C4415E5-4F23-40A1-8F12-E55BB093CA2E}" name="Table31" displayName="Table31" ref="A1:G37" totalsRowShown="0">
  <autoFilter ref="A1:G37" xr:uid="{6C4415E5-4F23-40A1-8F12-E55BB093CA2E}"/>
  <tableColumns count="7">
    <tableColumn id="1" xr3:uid="{FB52D14B-AA3E-4348-88E4-20ADA58A5E9A}" name="Timeline" dataDxfId="6"/>
    <tableColumn id="2" xr3:uid="{C3802548-2F1A-495C-9BDC-280F062FD8EE}" name="Values"/>
    <tableColumn id="3" xr3:uid="{6B45C732-DABC-4E20-918A-BFECC980600D}" name="Forecast" dataDxfId="5">
      <calculatedColumnFormula>_xlfn.FORECAST.ETS(A2,$B$2:$B$24,$A$2:$A$24,1,1)</calculatedColumnFormula>
    </tableColumn>
    <tableColumn id="4" xr3:uid="{E570257D-5953-4DD7-BD37-BD98C8DD70F9}" name="Lower Confidence Bound" dataDxfId="4">
      <calculatedColumnFormula>C2-_xlfn.FORECAST.ETS.CONFINT(A2,$B$2:$B$24,$A$2:$A$24,0.95,1,1)</calculatedColumnFormula>
    </tableColumn>
    <tableColumn id="5" xr3:uid="{6AB90608-D303-4033-8FEB-7964251885D5}" name="Upper Confidence Bound" dataDxfId="3">
      <calculatedColumnFormula>C2+_xlfn.FORECAST.ETS.CONFINT(A2,$B$2:$B$24,$A$2:$A$24,0.95,1,1)</calculatedColumnFormula>
    </tableColumn>
    <tableColumn id="6" xr3:uid="{C601990F-B90E-410E-A98E-4E21BD0D60AA}" name="Column1" dataDxfId="2"/>
    <tableColumn id="7" xr3:uid="{B1B528CD-3483-4340-958A-191C86579CC5}" name="Column2" dataDxfId="1">
      <calculatedColumnFormula>(Table31[[#This Row],[Column1]]-Table31[[#This Row],[Forecast]])/Table31[[#This Row],[Forecast]]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9147FC-FD6B-4CF7-9EB9-E9FF1CEC26AB}" name="Table2" displayName="Table2" ref="G1:H8" totalsRowShown="0">
  <autoFilter ref="G1:H8" xr:uid="{1B9147FC-FD6B-4CF7-9EB9-E9FF1CEC26AB}"/>
  <tableColumns count="2">
    <tableColumn id="1" xr3:uid="{D5AE0CC3-AAB4-464C-AB66-802E2C34468D}" name="Statistic"/>
    <tableColumn id="2" xr3:uid="{F0E4EED8-0ACC-41BB-A700-B3BFD44F10F1}" name="Value" dataDxfId="9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9E4CED-9F99-48E6-A6A4-49EF409F8770}" name="Table6" displayName="Table6" ref="A1:E24" totalsRowShown="0">
  <autoFilter ref="A1:E24" xr:uid="{5F9E4CED-9F99-48E6-A6A4-49EF409F8770}"/>
  <tableColumns count="5">
    <tableColumn id="1" xr3:uid="{B254989B-1E3E-4AF6-9C5E-1508C2AECD5C}" name="Month" dataDxfId="89"/>
    <tableColumn id="2" xr3:uid="{46CE134F-F850-4565-9C8E-9BCC3C69D830}" name="Megaflex - Botshabelo"/>
    <tableColumn id="3" xr3:uid="{4B0F7E2E-2F46-4956-947C-96997C9FB0BF}" name="Forecast(Megaflex - Botshabelo)" dataDxfId="88">
      <calculatedColumnFormula>_xlfn.FORECAST.ETS(A2,$B$2:$B$20,$A$2:$A$20,1,1)</calculatedColumnFormula>
    </tableColumn>
    <tableColumn id="4" xr3:uid="{43E2D069-33C4-4D40-A673-E966D9C69386}" name="Lower Confidence Bound(Megaflex - Botshabelo)" dataDxfId="87">
      <calculatedColumnFormula>C2-_xlfn.FORECAST.ETS.CONFINT(A2,$B$2:$B$20,$A$2:$A$20,0.95,1,1)</calculatedColumnFormula>
    </tableColumn>
    <tableColumn id="5" xr3:uid="{C6009BE2-9566-40BF-A065-44B0DA34A5DD}" name="Upper Confidence Bound(Megaflex - Botshabelo)" dataDxfId="86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A8959A-6F69-4347-9896-A30793B21949}" name="Table7" displayName="Table7" ref="G1:H8" totalsRowShown="0">
  <autoFilter ref="G1:H8" xr:uid="{89A8959A-6F69-4347-9896-A30793B21949}"/>
  <tableColumns count="2">
    <tableColumn id="1" xr3:uid="{67713248-EAD9-47D8-8ECC-65D0AF4AB89F}" name="Statistic"/>
    <tableColumn id="2" xr3:uid="{AA74F984-A0CD-42EC-B193-BAFC8F541AB2}" name="Value" dataDxfId="8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10CA4A-C064-42BA-B103-08D280DC1FE8}" name="Table8" displayName="Table8" ref="A1:E24" totalsRowShown="0">
  <autoFilter ref="A1:E24" xr:uid="{8810CA4A-C064-42BA-B103-08D280DC1FE8}"/>
  <tableColumns count="5">
    <tableColumn id="1" xr3:uid="{E29D5999-D375-46F5-84A9-FC01D3FEB5C3}" name="Month" dataDxfId="84"/>
    <tableColumn id="2" xr3:uid="{4E48B4A5-7A54-4C2D-AA94-C628A29A61C6}" name="Ruraflex Interval - Thaba Nchu"/>
    <tableColumn id="3" xr3:uid="{C5A0CA5E-F52A-4282-A273-B23CD4C2E3E2}" name="Forecast(Ruraflex Interval - Thaba Nchu)" dataDxfId="83">
      <calculatedColumnFormula>_xlfn.FORECAST.ETS(A2,$B$2:$B$20,$A$2:$A$20,1,1)</calculatedColumnFormula>
    </tableColumn>
    <tableColumn id="4" xr3:uid="{352C1E62-5DCC-4AA7-AE65-EF26C9A9A266}" name="Lower Confidence Bound(Ruraflex Interval - Thaba Nchu)" dataDxfId="82">
      <calculatedColumnFormula>C2-_xlfn.FORECAST.ETS.CONFINT(A2,$B$2:$B$20,$A$2:$A$20,0.95,1,1)</calculatedColumnFormula>
    </tableColumn>
    <tableColumn id="5" xr3:uid="{77AC6CF2-294A-4FC2-8552-BC16799852D1}" name="Upper Confidence Bound(Ruraflex Interval - Thaba Nchu)" dataDxfId="81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15E8C09-3544-4F4D-A843-C2D9355A732A}" name="Table9" displayName="Table9" ref="G1:H8" totalsRowShown="0">
  <autoFilter ref="G1:H8" xr:uid="{015E8C09-3544-4F4D-A843-C2D9355A732A}"/>
  <tableColumns count="2">
    <tableColumn id="1" xr3:uid="{88EC0E29-2B0A-433A-B500-B1F432677626}" name="Statistic"/>
    <tableColumn id="2" xr3:uid="{B4C6521C-1E2C-41C8-9717-5560874DA2EB}" name="Value" dataDxfId="8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F51DA1E-E583-4C1C-943E-0FFD0150BD25}" name="Table10" displayName="Table10" ref="A1:E25" totalsRowShown="0">
  <autoFilter ref="A1:E25" xr:uid="{9F51DA1E-E583-4C1C-943E-0FFD0150BD25}"/>
  <tableColumns count="5">
    <tableColumn id="1" xr3:uid="{65C6CC14-582A-4427-8025-5E2954C5004E}" name="Timeline" dataDxfId="79"/>
    <tableColumn id="2" xr3:uid="{C12C4AFA-F4F1-4ECB-BFBB-2A5E4B819A9A}" name="Values"/>
    <tableColumn id="3" xr3:uid="{968C21EF-9B07-46F9-A621-3846ED5FF065}" name="Forecast" dataDxfId="78">
      <calculatedColumnFormula>_xlfn.FORECAST.ETS(A2,$B$2:$B$20,$A$2:$A$20,1,1)</calculatedColumnFormula>
    </tableColumn>
    <tableColumn id="4" xr3:uid="{9957AB0A-2E5B-46A0-BE81-333F0009D547}" name="Lower Confidence Bound" dataDxfId="77">
      <calculatedColumnFormula>C2-_xlfn.FORECAST.ETS.CONFINT(A2,$B$2:$B$20,$A$2:$A$20,0.95,1,1)</calculatedColumnFormula>
    </tableColumn>
    <tableColumn id="5" xr3:uid="{F8DCCDEF-68FA-48C5-911E-D263C0E41014}" name="Upper Confidence Bound" dataDxfId="76">
      <calculatedColumnFormula>C2+_xlfn.FORECAST.ETS.CONFINT(A2,$B$2:$B$20,$A$2:$A$20,0.95,1,1)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drawing" Target="../drawings/drawing19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zoomScale="130" zoomScaleNormal="130" workbookViewId="0">
      <selection activeCell="D4" sqref="D4"/>
    </sheetView>
  </sheetViews>
  <sheetFormatPr defaultRowHeight="14.4" x14ac:dyDescent="0.3"/>
  <cols>
    <col min="2" max="2" width="12.21875" bestFit="1" customWidth="1"/>
    <col min="3" max="3" width="23.5546875" bestFit="1" customWidth="1"/>
    <col min="4" max="6" width="21.44140625" bestFit="1" customWidth="1"/>
    <col min="7" max="7" width="13.21875" bestFit="1" customWidth="1"/>
  </cols>
  <sheetData>
    <row r="1" spans="2:7" ht="15.6" x14ac:dyDescent="0.3">
      <c r="B1" s="127" t="s">
        <v>61</v>
      </c>
      <c r="C1" s="127"/>
    </row>
    <row r="3" spans="2:7" x14ac:dyDescent="0.3">
      <c r="B3" s="105" t="s">
        <v>28</v>
      </c>
      <c r="C3" s="106" t="s">
        <v>169</v>
      </c>
      <c r="D3" s="106" t="s">
        <v>168</v>
      </c>
      <c r="E3" s="106" t="s">
        <v>170</v>
      </c>
    </row>
    <row r="4" spans="2:7" x14ac:dyDescent="0.3">
      <c r="B4" s="49" t="s">
        <v>29</v>
      </c>
      <c r="C4" s="50">
        <f>'MMM 20242025 Bulk Purchases1stP'!B13</f>
        <v>2534274096.550653</v>
      </c>
      <c r="D4" s="81">
        <f>'MMM 20252026 Actual'!B13</f>
        <v>2824415263.1521807</v>
      </c>
      <c r="E4" s="81">
        <f>'MMM 20262027 Bulk Purchases'!B13</f>
        <v>3078895078.3621922</v>
      </c>
      <c r="F4" s="187"/>
    </row>
    <row r="5" spans="2:7" x14ac:dyDescent="0.3">
      <c r="B5" s="49" t="s">
        <v>30</v>
      </c>
      <c r="C5" s="50">
        <f>'MMM 20242025 Bulk Purchases1stP'!B26</f>
        <v>34916186.449346952</v>
      </c>
      <c r="D5" s="79">
        <f>'MMM 20252026 Actual'!B29</f>
        <v>37538148.191572003</v>
      </c>
      <c r="E5" s="81">
        <f>'MMM 20262027 Bulk Purchases'!B26</f>
        <v>40920335.343632631</v>
      </c>
      <c r="F5" s="187"/>
    </row>
    <row r="6" spans="2:7" x14ac:dyDescent="0.3">
      <c r="B6" s="107"/>
      <c r="C6" s="104">
        <f t="shared" ref="C6:D6" si="0">SUM(C4:C5)</f>
        <v>2569190283</v>
      </c>
      <c r="D6" s="104">
        <f t="shared" si="0"/>
        <v>2861953411.3437529</v>
      </c>
      <c r="E6" s="104">
        <f>SUM(E4:E5)</f>
        <v>3119815413.7058249</v>
      </c>
      <c r="F6" s="187"/>
      <c r="G6" s="187"/>
    </row>
    <row r="7" spans="2:7" x14ac:dyDescent="0.3">
      <c r="B7" s="107"/>
      <c r="C7" s="108"/>
      <c r="D7" s="108"/>
      <c r="E7" s="108"/>
      <c r="F7" s="187"/>
    </row>
    <row r="8" spans="2:7" ht="15.6" x14ac:dyDescent="0.3">
      <c r="B8" s="107"/>
      <c r="C8" s="109"/>
      <c r="D8" s="117"/>
      <c r="E8" s="118"/>
      <c r="F8" s="102"/>
    </row>
    <row r="9" spans="2:7" ht="15.6" x14ac:dyDescent="0.3">
      <c r="B9" s="107"/>
      <c r="C9" s="107"/>
      <c r="D9" s="119"/>
      <c r="E9" s="119"/>
      <c r="F9" s="103"/>
    </row>
    <row r="10" spans="2:7" ht="15.6" x14ac:dyDescent="0.3">
      <c r="B10" s="109" t="s">
        <v>173</v>
      </c>
      <c r="C10" s="107"/>
      <c r="D10" s="119"/>
      <c r="E10" s="119"/>
      <c r="F10" s="103"/>
    </row>
    <row r="11" spans="2:7" x14ac:dyDescent="0.3">
      <c r="B11" s="110"/>
      <c r="C11" s="111"/>
      <c r="D11" s="112"/>
      <c r="E11" s="113"/>
    </row>
    <row r="12" spans="2:7" x14ac:dyDescent="0.3">
      <c r="B12" s="292" t="s">
        <v>39</v>
      </c>
      <c r="C12" s="293"/>
      <c r="D12" s="120">
        <f>C6</f>
        <v>2569190283</v>
      </c>
      <c r="E12" s="114"/>
    </row>
    <row r="13" spans="2:7" x14ac:dyDescent="0.3">
      <c r="B13" s="292" t="s">
        <v>40</v>
      </c>
      <c r="C13" s="293"/>
      <c r="D13" s="121">
        <v>29849357.924794402</v>
      </c>
      <c r="E13" s="114"/>
    </row>
    <row r="14" spans="2:7" x14ac:dyDescent="0.3">
      <c r="B14" s="292" t="s">
        <v>41</v>
      </c>
      <c r="C14" s="293"/>
      <c r="D14" s="122">
        <f>+$D$12-$D$13</f>
        <v>2539340925.0752058</v>
      </c>
      <c r="E14" s="114"/>
    </row>
    <row r="15" spans="2:7" x14ac:dyDescent="0.3">
      <c r="B15" s="115"/>
      <c r="C15" s="107"/>
      <c r="D15" s="116"/>
      <c r="E15" s="114"/>
      <c r="F15" s="95"/>
    </row>
    <row r="16" spans="2:7" x14ac:dyDescent="0.3">
      <c r="B16" s="123"/>
      <c r="C16" s="124"/>
      <c r="D16" s="125"/>
      <c r="E16" s="126"/>
    </row>
  </sheetData>
  <mergeCells count="3">
    <mergeCell ref="B12:C12"/>
    <mergeCell ref="B13:C13"/>
    <mergeCell ref="B14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D5C9-1937-40DB-B5AA-2CB7FD168FF3}">
  <dimension ref="A1:H38"/>
  <sheetViews>
    <sheetView topLeftCell="A2" workbookViewId="0">
      <selection activeCell="C35" sqref="C35:C38"/>
    </sheetView>
  </sheetViews>
  <sheetFormatPr defaultRowHeight="14.4" x14ac:dyDescent="0.3"/>
  <cols>
    <col min="1" max="1" width="13.77734375" bestFit="1" customWidth="1"/>
    <col min="2" max="2" width="25.44140625" customWidth="1"/>
    <col min="3" max="3" width="34.21875" customWidth="1"/>
    <col min="4" max="4" width="49" customWidth="1"/>
    <col min="5" max="5" width="49.21875" customWidth="1"/>
    <col min="7" max="7" width="10.21875" customWidth="1"/>
    <col min="8" max="8" width="8.21875" customWidth="1"/>
  </cols>
  <sheetData>
    <row r="1" spans="1:8" x14ac:dyDescent="0.3">
      <c r="A1" t="s">
        <v>64</v>
      </c>
      <c r="B1" t="s">
        <v>3</v>
      </c>
      <c r="C1" t="s">
        <v>65</v>
      </c>
      <c r="D1" t="s">
        <v>66</v>
      </c>
      <c r="E1" t="s">
        <v>67</v>
      </c>
      <c r="G1" t="s">
        <v>68</v>
      </c>
      <c r="H1" t="s">
        <v>69</v>
      </c>
    </row>
    <row r="2" spans="1:8" x14ac:dyDescent="0.3">
      <c r="A2" s="164">
        <v>44774</v>
      </c>
      <c r="B2" s="39">
        <v>208343291.19999999</v>
      </c>
      <c r="G2" t="s">
        <v>70</v>
      </c>
      <c r="H2" s="165">
        <f>_xlfn.FORECAST.ETS.STAT($B$2:$B$19,$A$2:$A$19,1,1,1)</f>
        <v>0.25</v>
      </c>
    </row>
    <row r="3" spans="1:8" x14ac:dyDescent="0.3">
      <c r="A3" s="164">
        <v>44805</v>
      </c>
      <c r="B3" s="39">
        <v>120023709.54000001</v>
      </c>
      <c r="G3" t="s">
        <v>71</v>
      </c>
      <c r="H3" s="165">
        <f>_xlfn.FORECAST.ETS.STAT($B$2:$B$19,$A$2:$A$19,2,1,1)</f>
        <v>1E-3</v>
      </c>
    </row>
    <row r="4" spans="1:8" x14ac:dyDescent="0.3">
      <c r="A4" s="164">
        <v>44835</v>
      </c>
      <c r="B4" s="39">
        <v>120111620.78</v>
      </c>
      <c r="G4" t="s">
        <v>72</v>
      </c>
      <c r="H4" s="165">
        <f>_xlfn.FORECAST.ETS.STAT($B$2:$B$19,$A$2:$A$19,3,1,1)</f>
        <v>2.2204460492503131E-16</v>
      </c>
    </row>
    <row r="5" spans="1:8" x14ac:dyDescent="0.3">
      <c r="A5" s="164">
        <v>44866</v>
      </c>
      <c r="B5" s="39">
        <v>118568754.98999999</v>
      </c>
      <c r="G5" t="s">
        <v>73</v>
      </c>
      <c r="H5" s="165">
        <f>_xlfn.FORECAST.ETS.STAT($B$2:$B$19,$A$2:$A$19,4,1,1)</f>
        <v>1.974178030154691</v>
      </c>
    </row>
    <row r="6" spans="1:8" x14ac:dyDescent="0.3">
      <c r="A6" s="164">
        <v>44896</v>
      </c>
      <c r="B6" s="39">
        <v>109712490.7</v>
      </c>
      <c r="G6" t="s">
        <v>74</v>
      </c>
      <c r="H6" s="165">
        <f>_xlfn.FORECAST.ETS.STAT($B$2:$B$19,$A$2:$A$19,5,1,1)</f>
        <v>0.31324768428228289</v>
      </c>
    </row>
    <row r="7" spans="1:8" x14ac:dyDescent="0.3">
      <c r="A7" s="164">
        <v>44927</v>
      </c>
      <c r="B7" s="39">
        <v>119865906.34</v>
      </c>
      <c r="G7" t="s">
        <v>75</v>
      </c>
      <c r="H7" s="165">
        <f>_xlfn.FORECAST.ETS.STAT($B$2:$B$19,$A$2:$A$19,6,1,1)</f>
        <v>59935365.31758748</v>
      </c>
    </row>
    <row r="8" spans="1:8" x14ac:dyDescent="0.3">
      <c r="A8" s="164">
        <v>44958</v>
      </c>
      <c r="B8" s="39">
        <v>112238319.48</v>
      </c>
      <c r="G8" t="s">
        <v>76</v>
      </c>
      <c r="H8" s="165">
        <f>_xlfn.FORECAST.ETS.STAT($B$2:$B$19,$A$2:$A$19,7,1,1)</f>
        <v>61329375.260820739</v>
      </c>
    </row>
    <row r="9" spans="1:8" x14ac:dyDescent="0.3">
      <c r="A9" s="164">
        <v>44986</v>
      </c>
      <c r="B9" s="39">
        <v>122813349.93000001</v>
      </c>
    </row>
    <row r="10" spans="1:8" x14ac:dyDescent="0.3">
      <c r="A10" s="164">
        <v>45017</v>
      </c>
      <c r="B10" s="39">
        <v>117572062.88</v>
      </c>
    </row>
    <row r="11" spans="1:8" x14ac:dyDescent="0.3">
      <c r="A11" s="164">
        <v>45047</v>
      </c>
      <c r="B11" s="39">
        <v>274666188.64999998</v>
      </c>
    </row>
    <row r="12" spans="1:8" x14ac:dyDescent="0.3">
      <c r="A12" s="164">
        <v>45078</v>
      </c>
      <c r="B12" s="39">
        <f>'MMM 20222023 Bulk Purchases'!M4</f>
        <v>260567700.24000001</v>
      </c>
    </row>
    <row r="13" spans="1:8" x14ac:dyDescent="0.3">
      <c r="A13" s="164">
        <v>45108</v>
      </c>
      <c r="B13" s="39">
        <v>277013750.64999998</v>
      </c>
    </row>
    <row r="14" spans="1:8" x14ac:dyDescent="0.3">
      <c r="A14" s="164">
        <v>45139</v>
      </c>
      <c r="B14" s="39">
        <v>263433752.09</v>
      </c>
    </row>
    <row r="15" spans="1:8" x14ac:dyDescent="0.3">
      <c r="A15" s="164">
        <v>45170</v>
      </c>
      <c r="B15" s="39">
        <v>169733900.40000001</v>
      </c>
    </row>
    <row r="16" spans="1:8" x14ac:dyDescent="0.3">
      <c r="A16" s="164">
        <v>45200</v>
      </c>
      <c r="B16" s="39">
        <v>145463723.53999999</v>
      </c>
    </row>
    <row r="17" spans="1:5" x14ac:dyDescent="0.3">
      <c r="A17" s="164">
        <v>45231</v>
      </c>
      <c r="B17" s="39">
        <v>145818937.69</v>
      </c>
    </row>
    <row r="18" spans="1:5" x14ac:dyDescent="0.3">
      <c r="A18" s="164">
        <v>45261</v>
      </c>
      <c r="B18" s="39">
        <v>134855203.44</v>
      </c>
    </row>
    <row r="19" spans="1:5" x14ac:dyDescent="0.3">
      <c r="A19" s="164">
        <v>45292</v>
      </c>
      <c r="B19" s="39">
        <v>136886068.88</v>
      </c>
      <c r="C19" s="39"/>
      <c r="D19" s="39">
        <v>136886068.88</v>
      </c>
      <c r="E19" s="39">
        <v>136886068.88</v>
      </c>
    </row>
    <row r="20" spans="1:5" x14ac:dyDescent="0.3">
      <c r="A20" s="164">
        <v>45323</v>
      </c>
      <c r="B20" s="39">
        <v>148929316.33000001</v>
      </c>
      <c r="C20" s="39">
        <f>Table1[[#This Row],[Megaflex - Bloemfontein]]</f>
        <v>148929316.33000001</v>
      </c>
      <c r="D20" s="39">
        <f>C20-_xlfn.FORECAST.ETS.CONFINT(A20,$B$2:$B$19,$A$2:$A$19,0.95,1,1)</f>
        <v>21645899.736064926</v>
      </c>
      <c r="E20" s="39">
        <f>C20+_xlfn.FORECAST.ETS.CONFINT(A20,$B$2:$B$19,$A$2:$A$19,0.95,1,1)</f>
        <v>276212732.92393512</v>
      </c>
    </row>
    <row r="21" spans="1:5" x14ac:dyDescent="0.3">
      <c r="A21" s="164">
        <v>45354</v>
      </c>
      <c r="C21" s="39">
        <f>_xlfn.FORECAST.ETS(A21,$B$2:$B$20,$A$2:$A$20,1,1)-(35%*B9)</f>
        <v>138537471.65759689</v>
      </c>
      <c r="D21" s="39">
        <f>C21-_xlfn.FORECAST.ETS.CONFINT(A21,$B$2:$B$19,$A$2:$A$19,0.95,1,1)</f>
        <v>7053145.8522510827</v>
      </c>
      <c r="E21" s="39">
        <f>C21+_xlfn.FORECAST.ETS.CONFINT(A21,$B$2:$B$19,$A$2:$A$19,0.95,1,1)</f>
        <v>270021797.46294272</v>
      </c>
    </row>
    <row r="22" spans="1:5" x14ac:dyDescent="0.3">
      <c r="A22" s="164">
        <v>45385</v>
      </c>
      <c r="C22" s="166">
        <f>(B10*12.72%)+B10+(10%*B10)</f>
        <v>144284435.56633598</v>
      </c>
      <c r="D22" s="39">
        <f>C22-_xlfn.FORECAST.ETS.CONFINT(A22,$B$2:$B$19,$A$2:$A$19,0.95,1,1)</f>
        <v>8934080.772226572</v>
      </c>
      <c r="E22" s="39">
        <f>C22+_xlfn.FORECAST.ETS.CONFINT(A22,$B$2:$B$19,$A$2:$A$19,0.95,1,1)</f>
        <v>279634790.36044538</v>
      </c>
    </row>
    <row r="23" spans="1:5" x14ac:dyDescent="0.3">
      <c r="A23" s="164">
        <v>45416</v>
      </c>
      <c r="C23" s="166">
        <f>((B11*12.72%)+B11)-(60%*B11)</f>
        <v>144804014.65628001</v>
      </c>
      <c r="D23" s="39">
        <f>C23-_xlfn.FORECAST.ETS.CONFINT(A23,$B$2:$B$19,$A$2:$A$19,0.95,1,1)</f>
        <v>5560524.5282336473</v>
      </c>
      <c r="E23" s="39">
        <f>C23+_xlfn.FORECAST.ETS.CONFINT(A23,$B$2:$B$19,$A$2:$A$19,0.95,1,1)</f>
        <v>284047504.78432637</v>
      </c>
    </row>
    <row r="24" spans="1:5" x14ac:dyDescent="0.3">
      <c r="A24" s="164">
        <v>45447</v>
      </c>
      <c r="C24" s="166">
        <f>(B12*12.72%)+B12</f>
        <v>293711911.71052802</v>
      </c>
      <c r="D24" s="39">
        <f>C24-_xlfn.FORECAST.ETS.CONFINT(A24,$B$2:$B$19,$A$2:$A$19,0.95,1,1)</f>
        <v>150749769.89282835</v>
      </c>
      <c r="E24" s="39">
        <f>C24+_xlfn.FORECAST.ETS.CONFINT(A24,$B$2:$B$19,$A$2:$A$19,0.95,1,1)</f>
        <v>436674053.52822769</v>
      </c>
    </row>
    <row r="26" spans="1:5" x14ac:dyDescent="0.3">
      <c r="C26" s="166">
        <f>(B10*12.72%)+B10</f>
        <v>132527229.27833599</v>
      </c>
    </row>
    <row r="28" spans="1:5" x14ac:dyDescent="0.3">
      <c r="C28">
        <v>115993805.02227014</v>
      </c>
    </row>
    <row r="29" spans="1:5" x14ac:dyDescent="0.3">
      <c r="C29">
        <v>125517492.74091911</v>
      </c>
    </row>
    <row r="30" spans="1:5" x14ac:dyDescent="0.3">
      <c r="C30">
        <v>132527229.27833599</v>
      </c>
    </row>
    <row r="31" spans="1:5" x14ac:dyDescent="0.3">
      <c r="C31">
        <v>139310690.88328001</v>
      </c>
    </row>
    <row r="32" spans="1:5" x14ac:dyDescent="0.3">
      <c r="C32">
        <v>308880787.29388797</v>
      </c>
    </row>
    <row r="34" spans="3:3" x14ac:dyDescent="0.3">
      <c r="C34">
        <v>148929316.33000001</v>
      </c>
    </row>
    <row r="35" spans="3:3" x14ac:dyDescent="0.3">
      <c r="C35">
        <v>139319891.22574133</v>
      </c>
    </row>
    <row r="36" spans="3:3" x14ac:dyDescent="0.3">
      <c r="C36">
        <v>144284435.56633598</v>
      </c>
    </row>
    <row r="37" spans="3:3" x14ac:dyDescent="0.3">
      <c r="C37">
        <v>144804014.65628001</v>
      </c>
    </row>
    <row r="38" spans="3:3" x14ac:dyDescent="0.3">
      <c r="C38">
        <v>308880787.29388797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5D41-8D60-4754-8108-400DCB2B20AF}">
  <dimension ref="A1:H29"/>
  <sheetViews>
    <sheetView workbookViewId="0">
      <selection activeCell="C26" sqref="C26:C29"/>
    </sheetView>
  </sheetViews>
  <sheetFormatPr defaultRowHeight="14.4" x14ac:dyDescent="0.3"/>
  <cols>
    <col min="1" max="1" width="13.77734375" bestFit="1" customWidth="1"/>
    <col min="2" max="2" width="23.21875" customWidth="1"/>
    <col min="3" max="3" width="32" customWidth="1"/>
    <col min="4" max="5" width="46.77734375" customWidth="1"/>
    <col min="7" max="7" width="10.21875" customWidth="1"/>
    <col min="8" max="8" width="8.21875" customWidth="1"/>
  </cols>
  <sheetData>
    <row r="1" spans="1:8" x14ac:dyDescent="0.3">
      <c r="A1" t="s">
        <v>64</v>
      </c>
      <c r="B1" t="s">
        <v>4</v>
      </c>
      <c r="C1" t="s">
        <v>156</v>
      </c>
      <c r="D1" t="s">
        <v>157</v>
      </c>
      <c r="E1" t="s">
        <v>158</v>
      </c>
      <c r="G1" t="s">
        <v>68</v>
      </c>
      <c r="H1" t="s">
        <v>69</v>
      </c>
    </row>
    <row r="2" spans="1:8" x14ac:dyDescent="0.3">
      <c r="A2" s="164">
        <v>44774</v>
      </c>
      <c r="B2" s="39">
        <v>27509815.395</v>
      </c>
      <c r="G2" t="s">
        <v>70</v>
      </c>
      <c r="H2" s="165">
        <f>_xlfn.FORECAST.ETS.STAT($B$2:$B$20,$A$2:$A$20,1,1,1)</f>
        <v>0.25</v>
      </c>
    </row>
    <row r="3" spans="1:8" x14ac:dyDescent="0.3">
      <c r="A3" s="164">
        <v>44805</v>
      </c>
      <c r="B3" s="39">
        <v>17411055.780000001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17618615.640000001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17173310.559999999</v>
      </c>
      <c r="G5" t="s">
        <v>73</v>
      </c>
      <c r="H5" s="165">
        <f>_xlfn.FORECAST.ETS.STAT($B$2:$B$20,$A$2:$A$20,4,1,1)</f>
        <v>1.9205746021102399</v>
      </c>
    </row>
    <row r="6" spans="1:8" x14ac:dyDescent="0.3">
      <c r="A6" s="164">
        <v>44896</v>
      </c>
      <c r="B6" s="39">
        <v>16610246.67</v>
      </c>
      <c r="G6" t="s">
        <v>74</v>
      </c>
      <c r="H6" s="165">
        <f>_xlfn.FORECAST.ETS.STAT($B$2:$B$20,$A$2:$A$20,5,1,1)</f>
        <v>0.2281024415193369</v>
      </c>
    </row>
    <row r="7" spans="1:8" x14ac:dyDescent="0.3">
      <c r="A7" s="164">
        <v>44927</v>
      </c>
      <c r="B7" s="39">
        <v>17282716.800000001</v>
      </c>
      <c r="G7" t="s">
        <v>75</v>
      </c>
      <c r="H7" s="165">
        <f>_xlfn.FORECAST.ETS.STAT($B$2:$B$20,$A$2:$A$20,6,1,1)</f>
        <v>5865718.4085576627</v>
      </c>
    </row>
    <row r="8" spans="1:8" x14ac:dyDescent="0.3">
      <c r="A8" s="164">
        <v>44958</v>
      </c>
      <c r="B8" s="39">
        <v>16263853.439999999</v>
      </c>
      <c r="G8" t="s">
        <v>76</v>
      </c>
      <c r="H8" s="165">
        <f>_xlfn.FORECAST.ETS.STAT($B$2:$B$20,$A$2:$A$20,7,1,1)</f>
        <v>6634964.1013637166</v>
      </c>
    </row>
    <row r="9" spans="1:8" x14ac:dyDescent="0.3">
      <c r="A9" s="164">
        <v>44986</v>
      </c>
      <c r="B9" s="39">
        <v>18027266.600000001</v>
      </c>
    </row>
    <row r="10" spans="1:8" x14ac:dyDescent="0.3">
      <c r="A10" s="164">
        <v>45017</v>
      </c>
      <c r="B10" s="39">
        <v>16855917.859999999</v>
      </c>
    </row>
    <row r="11" spans="1:8" x14ac:dyDescent="0.3">
      <c r="A11" s="164">
        <v>45047</v>
      </c>
      <c r="B11" s="39">
        <v>24561691.23</v>
      </c>
    </row>
    <row r="12" spans="1:8" x14ac:dyDescent="0.3">
      <c r="A12" s="164">
        <v>45078</v>
      </c>
      <c r="B12" s="39">
        <v>30970724.600000001</v>
      </c>
    </row>
    <row r="13" spans="1:8" x14ac:dyDescent="0.3">
      <c r="A13" s="164">
        <v>45108</v>
      </c>
      <c r="B13" s="39">
        <v>34510758.18</v>
      </c>
    </row>
    <row r="14" spans="1:8" x14ac:dyDescent="0.3">
      <c r="A14" s="164">
        <v>45139</v>
      </c>
      <c r="B14" s="39">
        <v>36859941.710000001</v>
      </c>
    </row>
    <row r="15" spans="1:8" x14ac:dyDescent="0.3">
      <c r="A15" s="164">
        <v>45170</v>
      </c>
      <c r="B15" s="39">
        <v>30015297.140000001</v>
      </c>
    </row>
    <row r="16" spans="1:8" x14ac:dyDescent="0.3">
      <c r="A16" s="164">
        <v>45200</v>
      </c>
      <c r="B16" s="39">
        <v>20935898.120000001</v>
      </c>
    </row>
    <row r="17" spans="1:5" x14ac:dyDescent="0.3">
      <c r="A17" s="164">
        <v>45231</v>
      </c>
      <c r="B17" s="39">
        <v>21463368.100000001</v>
      </c>
    </row>
    <row r="18" spans="1:5" x14ac:dyDescent="0.3">
      <c r="A18" s="164">
        <v>45261</v>
      </c>
      <c r="B18" s="39">
        <v>20804855.030000001</v>
      </c>
    </row>
    <row r="19" spans="1:5" x14ac:dyDescent="0.3">
      <c r="A19" s="164">
        <v>45292</v>
      </c>
      <c r="B19" s="39">
        <v>19649773.460000001</v>
      </c>
    </row>
    <row r="20" spans="1:5" x14ac:dyDescent="0.3">
      <c r="A20" s="164">
        <v>45323</v>
      </c>
      <c r="B20" s="39">
        <v>21436355.960000001</v>
      </c>
      <c r="C20" s="39">
        <v>21436355.960000001</v>
      </c>
      <c r="D20" s="39">
        <v>21436355.960000001</v>
      </c>
      <c r="E20" s="39">
        <v>21436355.960000001</v>
      </c>
    </row>
    <row r="21" spans="1:5" x14ac:dyDescent="0.3">
      <c r="A21" s="164">
        <v>45354</v>
      </c>
      <c r="C21" s="39">
        <f>_xlfn.FORECAST.ETS(A21,$B$2:$B$20,$A$2:$A$20,1,1)-(B9*25%)</f>
        <v>19464712.331215799</v>
      </c>
      <c r="D21" s="39">
        <f>C21-_xlfn.FORECAST.ETS.CONFINT(A21,$B$2:$B$20,$A$2:$A$20,0.95,1,1)</f>
        <v>6301849.9798598681</v>
      </c>
      <c r="E21" s="39">
        <f>C21+_xlfn.FORECAST.ETS.CONFINT(A21,$B$2:$B$20,$A$2:$A$20,0.95,1,1)</f>
        <v>32627574.682571732</v>
      </c>
    </row>
    <row r="22" spans="1:5" x14ac:dyDescent="0.3">
      <c r="A22" s="164">
        <v>45385</v>
      </c>
      <c r="C22" s="39">
        <f>(B10*12.72%)+B10</f>
        <v>18999990.611791998</v>
      </c>
      <c r="D22" s="39">
        <f>C22-_xlfn.FORECAST.ETS.CONFINT(A22,$B$2:$B$20,$A$2:$A$20,0.95,1,1)</f>
        <v>5429377.6478678267</v>
      </c>
      <c r="E22" s="39">
        <f>C22+_xlfn.FORECAST.ETS.CONFINT(A22,$B$2:$B$20,$A$2:$A$20,0.95,1,1)</f>
        <v>32570603.575716168</v>
      </c>
    </row>
    <row r="23" spans="1:5" x14ac:dyDescent="0.3">
      <c r="A23" s="164">
        <v>45416</v>
      </c>
      <c r="C23" s="39">
        <f t="shared" ref="C23:C24" si="0">(B11*12.72%)+B11</f>
        <v>27685938.354456</v>
      </c>
      <c r="D23" s="39">
        <f>C23-_xlfn.FORECAST.ETS.CONFINT(A23,$B$2:$B$20,$A$2:$A$20,0.95,1,1)</f>
        <v>13705304.719397457</v>
      </c>
      <c r="E23" s="39">
        <f>C23+_xlfn.FORECAST.ETS.CONFINT(A23,$B$2:$B$20,$A$2:$A$20,0.95,1,1)</f>
        <v>41666571.989514545</v>
      </c>
    </row>
    <row r="24" spans="1:5" x14ac:dyDescent="0.3">
      <c r="A24" s="164">
        <v>45447</v>
      </c>
      <c r="C24" s="39">
        <f t="shared" si="0"/>
        <v>34910200.76912</v>
      </c>
      <c r="D24" s="39">
        <f>C24-_xlfn.FORECAST.ETS.CONFINT(A24,$B$2:$B$20,$A$2:$A$20,0.95,1,1)</f>
        <v>20538427.709164176</v>
      </c>
      <c r="E24" s="39">
        <f>C24+_xlfn.FORECAST.ETS.CONFINT(A24,$B$2:$B$20,$A$2:$A$20,0.95,1,1)</f>
        <v>49281973.829075828</v>
      </c>
    </row>
    <row r="26" spans="1:5" x14ac:dyDescent="0.3">
      <c r="C26">
        <v>19464712.331215799</v>
      </c>
    </row>
    <row r="27" spans="1:5" x14ac:dyDescent="0.3">
      <c r="C27">
        <v>18999990.611791998</v>
      </c>
    </row>
    <row r="28" spans="1:5" x14ac:dyDescent="0.3">
      <c r="C28">
        <v>27685938.354456</v>
      </c>
    </row>
    <row r="29" spans="1:5" x14ac:dyDescent="0.3">
      <c r="C29">
        <v>34910200.76912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2368-5159-4F14-817B-9F2FF2046058}">
  <dimension ref="A1:H29"/>
  <sheetViews>
    <sheetView workbookViewId="0">
      <selection activeCell="E29" sqref="E29"/>
    </sheetView>
  </sheetViews>
  <sheetFormatPr defaultRowHeight="14.4" x14ac:dyDescent="0.3"/>
  <cols>
    <col min="1" max="1" width="13.77734375" bestFit="1" customWidth="1"/>
    <col min="2" max="2" width="29.77734375" customWidth="1"/>
    <col min="3" max="3" width="38.5546875" customWidth="1"/>
    <col min="4" max="4" width="53.21875" customWidth="1"/>
    <col min="5" max="5" width="53.44140625" customWidth="1"/>
    <col min="7" max="7" width="10.21875" customWidth="1"/>
    <col min="8" max="8" width="8.21875" customWidth="1"/>
  </cols>
  <sheetData>
    <row r="1" spans="1:8" x14ac:dyDescent="0.3">
      <c r="A1" t="s">
        <v>64</v>
      </c>
      <c r="B1" t="s">
        <v>6</v>
      </c>
      <c r="C1" t="s">
        <v>159</v>
      </c>
      <c r="D1" t="s">
        <v>160</v>
      </c>
      <c r="E1" t="s">
        <v>161</v>
      </c>
      <c r="G1" t="s">
        <v>68</v>
      </c>
      <c r="H1" t="s">
        <v>69</v>
      </c>
    </row>
    <row r="2" spans="1:8" x14ac:dyDescent="0.3">
      <c r="A2" s="164">
        <v>44774</v>
      </c>
      <c r="B2" s="39">
        <v>1862030.0550000002</v>
      </c>
      <c r="G2" t="s">
        <v>70</v>
      </c>
      <c r="H2" s="165">
        <f>_xlfn.FORECAST.ETS.STAT($B$2:$B$20,$A$2:$A$20,1,1,1)</f>
        <v>0.5</v>
      </c>
    </row>
    <row r="3" spans="1:8" x14ac:dyDescent="0.3">
      <c r="A3" s="164">
        <v>44805</v>
      </c>
      <c r="B3" s="39">
        <v>1292769.57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1367633.36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1323999.3899999999</v>
      </c>
      <c r="G5" t="s">
        <v>73</v>
      </c>
      <c r="H5" s="165">
        <f>_xlfn.FORECAST.ETS.STAT($B$2:$B$20,$A$2:$A$20,4,1,1)</f>
        <v>1.1688677970359944</v>
      </c>
    </row>
    <row r="6" spans="1:8" x14ac:dyDescent="0.3">
      <c r="A6" s="164">
        <v>44896</v>
      </c>
      <c r="B6" s="39">
        <v>1337845.1200000001</v>
      </c>
      <c r="G6" t="s">
        <v>74</v>
      </c>
      <c r="H6" s="165">
        <f>_xlfn.FORECAST.ETS.STAT($B$2:$B$20,$A$2:$A$20,5,1,1)</f>
        <v>0.12024962611677063</v>
      </c>
    </row>
    <row r="7" spans="1:8" x14ac:dyDescent="0.3">
      <c r="A7" s="164">
        <v>44927</v>
      </c>
      <c r="B7" s="39">
        <v>1370942.86</v>
      </c>
      <c r="G7" t="s">
        <v>75</v>
      </c>
      <c r="H7" s="165">
        <f>_xlfn.FORECAST.ETS.STAT($B$2:$B$20,$A$2:$A$20,6,1,1)</f>
        <v>211899.58156879563</v>
      </c>
    </row>
    <row r="8" spans="1:8" x14ac:dyDescent="0.3">
      <c r="A8" s="164">
        <v>44958</v>
      </c>
      <c r="B8" s="39">
        <v>1197886.95</v>
      </c>
      <c r="G8" t="s">
        <v>76</v>
      </c>
      <c r="H8" s="165">
        <f>_xlfn.FORECAST.ETS.STAT($B$2:$B$20,$A$2:$A$20,7,1,1)</f>
        <v>242315.07307562328</v>
      </c>
    </row>
    <row r="9" spans="1:8" x14ac:dyDescent="0.3">
      <c r="A9" s="164">
        <v>44986</v>
      </c>
      <c r="B9" s="39">
        <v>1325097.45</v>
      </c>
    </row>
    <row r="10" spans="1:8" x14ac:dyDescent="0.3">
      <c r="A10" s="164">
        <v>45017</v>
      </c>
      <c r="B10" s="39">
        <v>1203221.95</v>
      </c>
    </row>
    <row r="11" spans="1:8" x14ac:dyDescent="0.3">
      <c r="A11" s="164">
        <v>45047</v>
      </c>
      <c r="B11" s="39">
        <v>1614363.65</v>
      </c>
    </row>
    <row r="12" spans="1:8" x14ac:dyDescent="0.3">
      <c r="A12" s="164">
        <v>45078</v>
      </c>
      <c r="B12" s="39">
        <v>1701108.08</v>
      </c>
    </row>
    <row r="13" spans="1:8" x14ac:dyDescent="0.3">
      <c r="A13" s="164">
        <v>45108</v>
      </c>
      <c r="B13" s="39">
        <v>2040526.34</v>
      </c>
    </row>
    <row r="14" spans="1:8" x14ac:dyDescent="0.3">
      <c r="A14" s="164">
        <v>45139</v>
      </c>
      <c r="B14" s="39">
        <v>2169130.79</v>
      </c>
    </row>
    <row r="15" spans="1:8" x14ac:dyDescent="0.3">
      <c r="A15" s="164">
        <v>45170</v>
      </c>
      <c r="B15" s="39">
        <v>1814162.73</v>
      </c>
    </row>
    <row r="16" spans="1:8" x14ac:dyDescent="0.3">
      <c r="A16" s="164">
        <v>45200</v>
      </c>
      <c r="B16" s="39">
        <v>1508022.87</v>
      </c>
    </row>
    <row r="17" spans="1:5" x14ac:dyDescent="0.3">
      <c r="A17" s="164">
        <v>45231</v>
      </c>
      <c r="B17" s="39">
        <v>1607158.78</v>
      </c>
    </row>
    <row r="18" spans="1:5" x14ac:dyDescent="0.3">
      <c r="A18" s="164">
        <v>45261</v>
      </c>
      <c r="B18" s="39">
        <v>1491775.71</v>
      </c>
    </row>
    <row r="19" spans="1:5" x14ac:dyDescent="0.3">
      <c r="A19" s="164">
        <v>45292</v>
      </c>
      <c r="B19" s="39">
        <v>1670179.93</v>
      </c>
    </row>
    <row r="20" spans="1:5" x14ac:dyDescent="0.3">
      <c r="A20" s="164">
        <v>45323</v>
      </c>
      <c r="B20" s="39">
        <v>1528943.38</v>
      </c>
      <c r="C20" s="39">
        <v>1528943.38</v>
      </c>
      <c r="D20" s="39">
        <v>1528943.38</v>
      </c>
      <c r="E20" s="39">
        <v>1528943.38</v>
      </c>
    </row>
    <row r="21" spans="1:5" x14ac:dyDescent="0.3">
      <c r="A21" s="164">
        <v>45354</v>
      </c>
      <c r="C21" s="39">
        <f>_xlfn.FORECAST.ETS(A21,$B$2:$B$20,$A$2:$A$20,1,1)-(B9*10%)</f>
        <v>1477181.8620059192</v>
      </c>
      <c r="D21" s="39">
        <f>C21-_xlfn.FORECAST.ETS.CONFINT(A21,$B$2:$B$20,$A$2:$A$20,0.95,1,1)</f>
        <v>966830.43162679358</v>
      </c>
      <c r="E21" s="39">
        <f>C21+_xlfn.FORECAST.ETS.CONFINT(A21,$B$2:$B$20,$A$2:$A$20,0.95,1,1)</f>
        <v>1987533.292385045</v>
      </c>
    </row>
    <row r="22" spans="1:5" x14ac:dyDescent="0.3">
      <c r="A22" s="164">
        <v>45385</v>
      </c>
      <c r="C22" s="39">
        <f>(B10*12.72%)+B10</f>
        <v>1356271.78204</v>
      </c>
      <c r="D22" s="39">
        <f>C22-_xlfn.FORECAST.ETS.CONFINT(A22,$B$2:$B$20,$A$2:$A$20,0.95,1,1)</f>
        <v>786229.99021471699</v>
      </c>
      <c r="E22" s="39">
        <f>C22+_xlfn.FORECAST.ETS.CONFINT(A22,$B$2:$B$20,$A$2:$A$20,0.95,1,1)</f>
        <v>1926313.5738652828</v>
      </c>
    </row>
    <row r="23" spans="1:5" x14ac:dyDescent="0.3">
      <c r="A23" s="164">
        <v>45416</v>
      </c>
      <c r="C23" s="39">
        <f t="shared" ref="C23:C24" si="0">(B11*12.72%)+B11</f>
        <v>1819710.7062799998</v>
      </c>
      <c r="D23" s="39">
        <f>C23-_xlfn.FORECAST.ETS.CONFINT(A23,$B$2:$B$20,$A$2:$A$20,0.95,1,1)</f>
        <v>1194004.7962860675</v>
      </c>
      <c r="E23" s="39">
        <f>C23+_xlfn.FORECAST.ETS.CONFINT(A23,$B$2:$B$20,$A$2:$A$20,0.95,1,1)</f>
        <v>2445416.6162739322</v>
      </c>
    </row>
    <row r="24" spans="1:5" x14ac:dyDescent="0.3">
      <c r="A24" s="164">
        <v>45447</v>
      </c>
      <c r="C24" s="39">
        <f t="shared" si="0"/>
        <v>1917489.0277760001</v>
      </c>
      <c r="D24" s="39">
        <f>C24-_xlfn.FORECAST.ETS.CONFINT(A24,$B$2:$B$20,$A$2:$A$20,0.95,1,1)</f>
        <v>1241773.7607329744</v>
      </c>
      <c r="E24" s="39">
        <f>C24+_xlfn.FORECAST.ETS.CONFINT(A24,$B$2:$B$20,$A$2:$A$20,0.95,1,1)</f>
        <v>2593204.2948190258</v>
      </c>
    </row>
    <row r="26" spans="1:5" x14ac:dyDescent="0.3">
      <c r="C26">
        <v>1477181.8620059192</v>
      </c>
    </row>
    <row r="27" spans="1:5" x14ac:dyDescent="0.3">
      <c r="C27">
        <v>1356271.78204</v>
      </c>
    </row>
    <row r="28" spans="1:5" x14ac:dyDescent="0.3">
      <c r="C28">
        <v>1819710.7062799998</v>
      </c>
    </row>
    <row r="29" spans="1:5" x14ac:dyDescent="0.3">
      <c r="C29">
        <v>1917489.0277760001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B80F-777A-4039-AE9F-1BA8011DE7F9}">
  <dimension ref="A1:H31"/>
  <sheetViews>
    <sheetView workbookViewId="0">
      <selection activeCell="M27" sqref="M27"/>
    </sheetView>
  </sheetViews>
  <sheetFormatPr defaultRowHeight="14.4" x14ac:dyDescent="0.3"/>
  <cols>
    <col min="1" max="1" width="13.77734375" bestFit="1" customWidth="1"/>
    <col min="2" max="2" width="11.5546875" bestFit="1" customWidth="1"/>
    <col min="3" max="3" width="13.77734375" bestFit="1" customWidth="1"/>
    <col min="4" max="4" width="25.21875" customWidth="1"/>
    <col min="5" max="5" width="25.44140625" customWidth="1"/>
    <col min="7" max="7" width="10.21875" customWidth="1"/>
    <col min="8" max="8" width="8.21875" customWidth="1"/>
  </cols>
  <sheetData>
    <row r="1" spans="1:8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G1" t="s">
        <v>68</v>
      </c>
      <c r="H1" t="s">
        <v>69</v>
      </c>
    </row>
    <row r="2" spans="1:8" x14ac:dyDescent="0.3">
      <c r="A2" s="164">
        <v>44774</v>
      </c>
      <c r="B2" s="39">
        <v>440972.05</v>
      </c>
      <c r="G2" t="s">
        <v>70</v>
      </c>
      <c r="H2" s="165">
        <f>_xlfn.FORECAST.ETS.STAT($B$2:$B$20,$A$2:$A$20,1,1,1)</f>
        <v>0.25</v>
      </c>
    </row>
    <row r="3" spans="1:8" x14ac:dyDescent="0.3">
      <c r="A3" s="164">
        <v>44805</v>
      </c>
      <c r="B3" s="39">
        <v>315232.21000000002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322014.64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303310.43</v>
      </c>
      <c r="G5" t="s">
        <v>73</v>
      </c>
      <c r="H5" s="165">
        <f>_xlfn.FORECAST.ETS.STAT($B$2:$B$20,$A$2:$A$20,4,1,1)</f>
        <v>2.0742358417885067</v>
      </c>
    </row>
    <row r="6" spans="1:8" x14ac:dyDescent="0.3">
      <c r="A6" s="164">
        <v>44896</v>
      </c>
      <c r="B6" s="39">
        <v>320377.34999999998</v>
      </c>
      <c r="G6" t="s">
        <v>74</v>
      </c>
      <c r="H6" s="165">
        <f>_xlfn.FORECAST.ETS.STAT($B$2:$B$20,$A$2:$A$20,5,1,1)</f>
        <v>0.19201016437118862</v>
      </c>
    </row>
    <row r="7" spans="1:8" x14ac:dyDescent="0.3">
      <c r="A7" s="164">
        <v>44927</v>
      </c>
      <c r="B7" s="39">
        <v>312570.65000000002</v>
      </c>
      <c r="G7" t="s">
        <v>75</v>
      </c>
      <c r="H7" s="165">
        <f>_xlfn.FORECAST.ETS.STAT($B$2:$B$20,$A$2:$A$20,6,1,1)</f>
        <v>88323.125005636903</v>
      </c>
    </row>
    <row r="8" spans="1:8" x14ac:dyDescent="0.3">
      <c r="A8" s="164">
        <v>44958</v>
      </c>
      <c r="B8" s="39">
        <v>294309.82</v>
      </c>
      <c r="G8" t="s">
        <v>76</v>
      </c>
      <c r="H8" s="165">
        <f>_xlfn.FORECAST.ETS.STAT($B$2:$B$20,$A$2:$A$20,7,1,1)</f>
        <v>100284.09958907601</v>
      </c>
    </row>
    <row r="9" spans="1:8" x14ac:dyDescent="0.3">
      <c r="A9" s="164">
        <v>44986</v>
      </c>
      <c r="B9" s="39">
        <v>335307.18</v>
      </c>
    </row>
    <row r="10" spans="1:8" x14ac:dyDescent="0.3">
      <c r="A10" s="164">
        <v>45017</v>
      </c>
      <c r="B10" s="39">
        <v>344778.29</v>
      </c>
    </row>
    <row r="11" spans="1:8" x14ac:dyDescent="0.3">
      <c r="A11" s="164">
        <v>45047</v>
      </c>
      <c r="B11" s="39">
        <v>432983.97</v>
      </c>
    </row>
    <row r="12" spans="1:8" x14ac:dyDescent="0.3">
      <c r="A12" s="164">
        <v>45078</v>
      </c>
      <c r="B12" s="39">
        <v>491744.23</v>
      </c>
    </row>
    <row r="13" spans="1:8" x14ac:dyDescent="0.3">
      <c r="A13" s="164">
        <v>45108</v>
      </c>
      <c r="B13" s="39">
        <v>568340.36</v>
      </c>
    </row>
    <row r="14" spans="1:8" x14ac:dyDescent="0.3">
      <c r="A14" s="164">
        <v>45139</v>
      </c>
      <c r="B14" s="39">
        <v>626577.21</v>
      </c>
    </row>
    <row r="15" spans="1:8" x14ac:dyDescent="0.3">
      <c r="A15" s="164">
        <v>45170</v>
      </c>
      <c r="B15" s="39">
        <v>513651.61</v>
      </c>
    </row>
    <row r="16" spans="1:8" x14ac:dyDescent="0.3">
      <c r="A16" s="164">
        <v>45200</v>
      </c>
      <c r="B16" s="39">
        <v>388035.79</v>
      </c>
    </row>
    <row r="17" spans="1:5" x14ac:dyDescent="0.3">
      <c r="A17" s="164">
        <v>45231</v>
      </c>
      <c r="B17" s="39">
        <v>400268.64</v>
      </c>
    </row>
    <row r="18" spans="1:5" x14ac:dyDescent="0.3">
      <c r="A18" s="164">
        <v>45261</v>
      </c>
      <c r="B18" s="39">
        <v>385329.89</v>
      </c>
    </row>
    <row r="19" spans="1:5" x14ac:dyDescent="0.3">
      <c r="A19" s="164">
        <v>45292</v>
      </c>
      <c r="B19" s="39">
        <v>373294.45</v>
      </c>
    </row>
    <row r="20" spans="1:5" x14ac:dyDescent="0.3">
      <c r="A20" s="164">
        <v>45323</v>
      </c>
      <c r="B20" s="39">
        <v>389534.63</v>
      </c>
      <c r="C20" s="39">
        <v>389534.63</v>
      </c>
      <c r="D20" s="39">
        <v>389534.63</v>
      </c>
      <c r="E20" s="39">
        <v>389534.63</v>
      </c>
    </row>
    <row r="21" spans="1:5" x14ac:dyDescent="0.3">
      <c r="A21" s="164">
        <v>45354</v>
      </c>
      <c r="C21" s="39">
        <f>_xlfn.FORECAST.ETS(A21,$B$2:$B$20,$A$2:$A$20,1,1)-(B9*20%)</f>
        <v>369448.00370228908</v>
      </c>
      <c r="D21" s="39">
        <f>C21-_xlfn.FORECAST.ETS.CONFINT(A21,$B$2:$B$20,$A$2:$A$20,0.95,1,1)</f>
        <v>188534.43656015189</v>
      </c>
      <c r="E21" s="39">
        <f>C21+_xlfn.FORECAST.ETS.CONFINT(A21,$B$2:$B$20,$A$2:$A$20,0.95,1,1)</f>
        <v>550361.57084442629</v>
      </c>
    </row>
    <row r="22" spans="1:5" x14ac:dyDescent="0.3">
      <c r="A22" s="164">
        <v>45385</v>
      </c>
      <c r="C22" s="39">
        <f>(B9*12.72%)+B9</f>
        <v>377958.25329600001</v>
      </c>
      <c r="D22" s="39">
        <f>C22-_xlfn.FORECAST.ETS.CONFINT(A22,$B$2:$B$20,$A$2:$A$20,0.95,1,1)</f>
        <v>191440.4630103675</v>
      </c>
      <c r="E22" s="39">
        <f>C22+_xlfn.FORECAST.ETS.CONFINT(A22,$B$2:$B$20,$A$2:$A$20,0.95,1,1)</f>
        <v>564476.04358163255</v>
      </c>
    </row>
    <row r="23" spans="1:5" x14ac:dyDescent="0.3">
      <c r="A23" s="164">
        <v>45416</v>
      </c>
      <c r="C23" s="39">
        <f>(B10*12.72%)+B10</f>
        <v>388634.08848799998</v>
      </c>
      <c r="D23" s="39">
        <f>C23-_xlfn.FORECAST.ETS.CONFINT(A23,$B$2:$B$20,$A$2:$A$20,0.95,1,1)</f>
        <v>196480.87482431394</v>
      </c>
      <c r="E23" s="39">
        <f>C23+_xlfn.FORECAST.ETS.CONFINT(A23,$B$2:$B$20,$A$2:$A$20,0.95,1,1)</f>
        <v>580787.30215168605</v>
      </c>
    </row>
    <row r="24" spans="1:5" x14ac:dyDescent="0.3">
      <c r="A24" s="164">
        <v>45447</v>
      </c>
      <c r="C24" s="39">
        <f t="shared" ref="C24:C25" si="0">(B11*12.72%)+B11</f>
        <v>488059.53098399995</v>
      </c>
      <c r="D24" s="39">
        <f>C24-_xlfn.FORECAST.ETS.CONFINT(A24,$B$2:$B$20,$A$2:$A$20,0.95,1,1)</f>
        <v>290530.40236206003</v>
      </c>
      <c r="E24" s="39">
        <f>C24+_xlfn.FORECAST.ETS.CONFINT(A24,$B$2:$B$20,$A$2:$A$20,0.95,1,1)</f>
        <v>685588.65960593987</v>
      </c>
    </row>
    <row r="25" spans="1:5" x14ac:dyDescent="0.3">
      <c r="A25" s="164">
        <v>45478</v>
      </c>
      <c r="C25" s="39">
        <f t="shared" si="0"/>
        <v>554294.09605599998</v>
      </c>
      <c r="D25" s="39">
        <f>C25-_xlfn.FORECAST.ETS.CONFINT(A25,$B$2:$B$20,$A$2:$A$20,0.95,1,1)</f>
        <v>351355.69116353057</v>
      </c>
      <c r="E25" s="39">
        <f>C25+_xlfn.FORECAST.ETS.CONFINT(A25,$B$2:$B$20,$A$2:$A$20,0.95,1,1)</f>
        <v>757232.50094846939</v>
      </c>
    </row>
    <row r="27" spans="1:5" x14ac:dyDescent="0.3">
      <c r="C27">
        <v>369448.00370228908</v>
      </c>
    </row>
    <row r="28" spans="1:5" x14ac:dyDescent="0.3">
      <c r="C28">
        <v>377958.25329600001</v>
      </c>
    </row>
    <row r="29" spans="1:5" x14ac:dyDescent="0.3">
      <c r="C29">
        <v>388634.08848799998</v>
      </c>
    </row>
    <row r="30" spans="1:5" x14ac:dyDescent="0.3">
      <c r="C30">
        <v>488059.53098399995</v>
      </c>
    </row>
    <row r="31" spans="1:5" x14ac:dyDescent="0.3">
      <c r="C31">
        <v>554294.09605599998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D022-F3DD-4AF9-B819-3DB761224BDC}">
  <dimension ref="A1:H31"/>
  <sheetViews>
    <sheetView workbookViewId="0">
      <selection activeCell="E34" sqref="E34"/>
    </sheetView>
  </sheetViews>
  <sheetFormatPr defaultRowHeight="14.4" x14ac:dyDescent="0.3"/>
  <cols>
    <col min="1" max="1" width="13.77734375" bestFit="1" customWidth="1"/>
    <col min="2" max="3" width="13.21875" bestFit="1" customWidth="1"/>
    <col min="4" max="4" width="25.21875" customWidth="1"/>
    <col min="5" max="5" width="25.44140625" customWidth="1"/>
    <col min="7" max="7" width="10.21875" customWidth="1"/>
    <col min="8" max="8" width="8.21875" customWidth="1"/>
  </cols>
  <sheetData>
    <row r="1" spans="1:8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G1" t="s">
        <v>68</v>
      </c>
      <c r="H1" t="s">
        <v>69</v>
      </c>
    </row>
    <row r="2" spans="1:8" x14ac:dyDescent="0.3">
      <c r="A2" s="164">
        <v>44774</v>
      </c>
      <c r="B2" s="39">
        <v>2058069.14</v>
      </c>
      <c r="G2" t="s">
        <v>70</v>
      </c>
      <c r="H2" s="165">
        <f>_xlfn.FORECAST.ETS.STAT($B$2:$B$20,$A$2:$A$20,1,1,1)</f>
        <v>0.5</v>
      </c>
    </row>
    <row r="3" spans="1:8" x14ac:dyDescent="0.3">
      <c r="A3" s="164">
        <v>44805</v>
      </c>
      <c r="B3" s="39">
        <v>1181240.83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1139273.93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1067844.3899999999</v>
      </c>
      <c r="G5" t="s">
        <v>73</v>
      </c>
      <c r="H5" s="165">
        <f>_xlfn.FORECAST.ETS.STAT($B$2:$B$20,$A$2:$A$20,4,1,1)</f>
        <v>1.6646754641451458</v>
      </c>
    </row>
    <row r="6" spans="1:8" x14ac:dyDescent="0.3">
      <c r="A6" s="164">
        <v>44896</v>
      </c>
      <c r="B6" s="39">
        <v>1099126.3899999999</v>
      </c>
      <c r="G6" t="s">
        <v>74</v>
      </c>
      <c r="H6" s="165">
        <f>_xlfn.FORECAST.ETS.STAT($B$2:$B$20,$A$2:$A$20,5,1,1)</f>
        <v>0.20160111219155005</v>
      </c>
    </row>
    <row r="7" spans="1:8" x14ac:dyDescent="0.3">
      <c r="A7" s="164">
        <v>44927</v>
      </c>
      <c r="B7" s="39">
        <v>1087559.46</v>
      </c>
      <c r="G7" t="s">
        <v>75</v>
      </c>
      <c r="H7" s="165">
        <f>_xlfn.FORECAST.ETS.STAT($B$2:$B$20,$A$2:$A$20,6,1,1)</f>
        <v>322362.36970095849</v>
      </c>
    </row>
    <row r="8" spans="1:8" x14ac:dyDescent="0.3">
      <c r="A8" s="164">
        <v>44958</v>
      </c>
      <c r="B8" s="39">
        <v>1018157.39</v>
      </c>
      <c r="G8" t="s">
        <v>76</v>
      </c>
      <c r="H8" s="165">
        <f>_xlfn.FORECAST.ETS.STAT($B$2:$B$20,$A$2:$A$20,7,1,1)</f>
        <v>384497.13434140489</v>
      </c>
    </row>
    <row r="9" spans="1:8" x14ac:dyDescent="0.3">
      <c r="A9" s="164">
        <v>44986</v>
      </c>
      <c r="B9" s="39">
        <v>1145003.44</v>
      </c>
    </row>
    <row r="10" spans="1:8" x14ac:dyDescent="0.3">
      <c r="A10" s="164">
        <v>45017</v>
      </c>
      <c r="B10" s="39">
        <v>1211714.75</v>
      </c>
    </row>
    <row r="11" spans="1:8" x14ac:dyDescent="0.3">
      <c r="A11" s="164">
        <v>45047</v>
      </c>
      <c r="B11" s="39">
        <v>1801431.71</v>
      </c>
    </row>
    <row r="12" spans="1:8" x14ac:dyDescent="0.3">
      <c r="A12" s="164">
        <v>45078</v>
      </c>
      <c r="B12" s="39">
        <v>1871990.03</v>
      </c>
    </row>
    <row r="13" spans="1:8" x14ac:dyDescent="0.3">
      <c r="A13" s="164">
        <v>45108</v>
      </c>
      <c r="B13" s="39">
        <v>2045818.2</v>
      </c>
    </row>
    <row r="14" spans="1:8" x14ac:dyDescent="0.3">
      <c r="A14" s="164">
        <v>45139</v>
      </c>
      <c r="B14" s="39">
        <v>2315972.88</v>
      </c>
    </row>
    <row r="15" spans="1:8" x14ac:dyDescent="0.3">
      <c r="A15" s="164">
        <v>45170</v>
      </c>
      <c r="B15" s="39">
        <v>1822834.98</v>
      </c>
    </row>
    <row r="16" spans="1:8" x14ac:dyDescent="0.3">
      <c r="A16" s="164">
        <v>45200</v>
      </c>
      <c r="B16" s="39">
        <v>1252527.55</v>
      </c>
    </row>
    <row r="17" spans="1:5" x14ac:dyDescent="0.3">
      <c r="A17" s="164">
        <v>45231</v>
      </c>
      <c r="B17" s="39">
        <v>1241748.8500000001</v>
      </c>
    </row>
    <row r="18" spans="1:5" x14ac:dyDescent="0.3">
      <c r="A18" s="164">
        <v>45261</v>
      </c>
      <c r="B18" s="39">
        <v>1123553.17</v>
      </c>
    </row>
    <row r="19" spans="1:5" x14ac:dyDescent="0.3">
      <c r="A19" s="164">
        <v>45292</v>
      </c>
      <c r="B19" s="39">
        <v>1181231.69</v>
      </c>
    </row>
    <row r="20" spans="1:5" x14ac:dyDescent="0.3">
      <c r="A20" s="164">
        <v>45323</v>
      </c>
      <c r="B20" s="39">
        <v>1268508.8</v>
      </c>
      <c r="C20" s="39">
        <v>1268508.8</v>
      </c>
      <c r="D20" s="39">
        <v>1268508.8</v>
      </c>
      <c r="E20" s="39">
        <v>1268508.8</v>
      </c>
    </row>
    <row r="21" spans="1:5" x14ac:dyDescent="0.3">
      <c r="A21" s="164">
        <v>45354</v>
      </c>
      <c r="C21" s="39">
        <f>_xlfn.FORECAST.ETS(A21,$B$2:$B$20,$A$2:$A$20,1,1)</f>
        <v>1258412.5686973669</v>
      </c>
      <c r="D21" s="39">
        <f>C21-_xlfn.FORECAST.ETS.CONFINT(A21,$B$2:$B$20,$A$2:$A$20,0.95,1,1)</f>
        <v>488776.69897031132</v>
      </c>
      <c r="E21" s="39">
        <f>C21+_xlfn.FORECAST.ETS.CONFINT(A21,$B$2:$B$20,$A$2:$A$20,0.95,1,1)</f>
        <v>2028048.4384244224</v>
      </c>
    </row>
    <row r="22" spans="1:5" x14ac:dyDescent="0.3">
      <c r="A22" s="164">
        <v>45385</v>
      </c>
      <c r="C22" s="39">
        <f>(B10*12.72%)+B10</f>
        <v>1365844.8662</v>
      </c>
      <c r="D22" s="39">
        <f>C22-_xlfn.FORECAST.ETS.CONFINT(A22,$B$2:$B$20,$A$2:$A$20,0.95,1,1)</f>
        <v>506192.90067831101</v>
      </c>
      <c r="E22" s="39">
        <f>C22+_xlfn.FORECAST.ETS.CONFINT(A22,$B$2:$B$20,$A$2:$A$20,0.95,1,1)</f>
        <v>2225496.8317216891</v>
      </c>
    </row>
    <row r="23" spans="1:5" x14ac:dyDescent="0.3">
      <c r="A23" s="164">
        <v>45416</v>
      </c>
      <c r="C23" s="39">
        <f t="shared" ref="C23:C25" si="0">(B11*12.72%)+B11</f>
        <v>2030573.823512</v>
      </c>
      <c r="D23" s="39">
        <f>C23-_xlfn.FORECAST.ETS.CONFINT(A23,$B$2:$B$20,$A$2:$A$20,0.95,1,1)</f>
        <v>1086977.5414876759</v>
      </c>
      <c r="E23" s="39">
        <f>C23+_xlfn.FORECAST.ETS.CONFINT(A23,$B$2:$B$20,$A$2:$A$20,0.95,1,1)</f>
        <v>2974170.105536324</v>
      </c>
    </row>
    <row r="24" spans="1:5" x14ac:dyDescent="0.3">
      <c r="A24" s="164">
        <v>45447</v>
      </c>
      <c r="C24" s="39">
        <f t="shared" si="0"/>
        <v>2110107.161816</v>
      </c>
      <c r="D24" s="39">
        <f>C24-_xlfn.FORECAST.ETS.CONFINT(A24,$B$2:$B$20,$A$2:$A$20,0.95,1,1)</f>
        <v>1091094.2301736323</v>
      </c>
      <c r="E24" s="39">
        <f>C24+_xlfn.FORECAST.ETS.CONFINT(A24,$B$2:$B$20,$A$2:$A$20,0.95,1,1)</f>
        <v>3129120.0934583675</v>
      </c>
    </row>
    <row r="25" spans="1:5" x14ac:dyDescent="0.3">
      <c r="A25" s="164">
        <v>45478</v>
      </c>
      <c r="C25" s="39">
        <f t="shared" si="0"/>
        <v>2306046.2750399997</v>
      </c>
      <c r="D25" s="39">
        <f>C25-_xlfn.FORECAST.ETS.CONFINT(A25,$B$2:$B$20,$A$2:$A$20,0.95,1,1)</f>
        <v>1214795.6673162065</v>
      </c>
      <c r="E25" s="39">
        <f>C25+_xlfn.FORECAST.ETS.CONFINT(A25,$B$2:$B$20,$A$2:$A$20,0.95,1,1)</f>
        <v>3397296.8827637928</v>
      </c>
    </row>
    <row r="27" spans="1:5" x14ac:dyDescent="0.3">
      <c r="C27">
        <v>1258412.5686973669</v>
      </c>
    </row>
    <row r="28" spans="1:5" x14ac:dyDescent="0.3">
      <c r="C28">
        <v>1365844.8662</v>
      </c>
    </row>
    <row r="29" spans="1:5" x14ac:dyDescent="0.3">
      <c r="C29">
        <v>2030573.823512</v>
      </c>
    </row>
    <row r="30" spans="1:5" x14ac:dyDescent="0.3">
      <c r="C30">
        <v>2110107.161816</v>
      </c>
    </row>
    <row r="31" spans="1:5" x14ac:dyDescent="0.3">
      <c r="C31">
        <v>2306046.2750399997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FA47-9060-467D-BE2A-9523E1B425AD}">
  <dimension ref="A1:H31"/>
  <sheetViews>
    <sheetView workbookViewId="0">
      <selection activeCell="E31" sqref="E31"/>
    </sheetView>
  </sheetViews>
  <sheetFormatPr defaultRowHeight="14.4" x14ac:dyDescent="0.3"/>
  <cols>
    <col min="1" max="1" width="13.77734375" bestFit="1" customWidth="1"/>
    <col min="2" max="3" width="11.5546875" bestFit="1" customWidth="1"/>
    <col min="4" max="4" width="25.21875" customWidth="1"/>
    <col min="5" max="5" width="25.44140625" customWidth="1"/>
    <col min="7" max="7" width="10.21875" customWidth="1"/>
    <col min="8" max="8" width="8.21875" customWidth="1"/>
  </cols>
  <sheetData>
    <row r="1" spans="1:8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G1" t="s">
        <v>68</v>
      </c>
      <c r="H1" t="s">
        <v>69</v>
      </c>
    </row>
    <row r="2" spans="1:8" x14ac:dyDescent="0.3">
      <c r="A2" s="164">
        <v>44774</v>
      </c>
      <c r="B2" s="39">
        <v>401107.68</v>
      </c>
      <c r="G2" t="s">
        <v>70</v>
      </c>
      <c r="H2" s="165">
        <f>_xlfn.FORECAST.ETS.STAT($B$2:$B$20,$A$2:$A$20,1,1,1)</f>
        <v>2E-3</v>
      </c>
    </row>
    <row r="3" spans="1:8" x14ac:dyDescent="0.3">
      <c r="A3" s="164">
        <v>44805</v>
      </c>
      <c r="B3" s="39">
        <v>378209.18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367856.03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363672.71</v>
      </c>
      <c r="G5" t="s">
        <v>73</v>
      </c>
      <c r="H5" s="165">
        <f>_xlfn.FORECAST.ETS.STAT($B$2:$B$20,$A$2:$A$20,4,1,1)</f>
        <v>2.8216780208733638</v>
      </c>
    </row>
    <row r="6" spans="1:8" x14ac:dyDescent="0.3">
      <c r="A6" s="164">
        <v>44896</v>
      </c>
      <c r="B6" s="39">
        <v>376025.65</v>
      </c>
      <c r="G6" t="s">
        <v>74</v>
      </c>
      <c r="H6" s="165">
        <f>_xlfn.FORECAST.ETS.STAT($B$2:$B$20,$A$2:$A$20,5,1,1)</f>
        <v>0.23462791300420774</v>
      </c>
    </row>
    <row r="7" spans="1:8" x14ac:dyDescent="0.3">
      <c r="A7" s="164">
        <v>44927</v>
      </c>
      <c r="B7" s="39">
        <v>385650.5</v>
      </c>
      <c r="G7" t="s">
        <v>75</v>
      </c>
      <c r="H7" s="165">
        <f>_xlfn.FORECAST.ETS.STAT($B$2:$B$20,$A$2:$A$20,6,1,1)</f>
        <v>122464.79697642788</v>
      </c>
    </row>
    <row r="8" spans="1:8" x14ac:dyDescent="0.3">
      <c r="A8" s="164">
        <v>44958</v>
      </c>
      <c r="B8" s="39">
        <v>343665.27</v>
      </c>
      <c r="G8" t="s">
        <v>76</v>
      </c>
      <c r="H8" s="165">
        <f>_xlfn.FORECAST.ETS.STAT($B$2:$B$20,$A$2:$A$20,7,1,1)</f>
        <v>135592.24860329172</v>
      </c>
    </row>
    <row r="9" spans="1:8" x14ac:dyDescent="0.3">
      <c r="A9" s="164">
        <v>44986</v>
      </c>
      <c r="B9" s="39">
        <v>390565.64</v>
      </c>
    </row>
    <row r="10" spans="1:8" x14ac:dyDescent="0.3">
      <c r="A10" s="164">
        <v>45017</v>
      </c>
      <c r="B10" s="39">
        <v>400085.86</v>
      </c>
    </row>
    <row r="11" spans="1:8" x14ac:dyDescent="0.3">
      <c r="A11" s="164">
        <v>45047</v>
      </c>
      <c r="B11" s="39">
        <v>589151.01</v>
      </c>
    </row>
    <row r="12" spans="1:8" x14ac:dyDescent="0.3">
      <c r="A12" s="164">
        <v>45078</v>
      </c>
      <c r="B12" s="39">
        <v>629495.80000000005</v>
      </c>
    </row>
    <row r="13" spans="1:8" x14ac:dyDescent="0.3">
      <c r="A13" s="164">
        <v>45108</v>
      </c>
      <c r="B13" s="39">
        <v>719682.76</v>
      </c>
    </row>
    <row r="14" spans="1:8" x14ac:dyDescent="0.3">
      <c r="A14" s="164">
        <v>45139</v>
      </c>
      <c r="B14" s="39">
        <v>753683.85</v>
      </c>
    </row>
    <row r="15" spans="1:8" x14ac:dyDescent="0.3">
      <c r="A15" s="164">
        <v>45170</v>
      </c>
      <c r="B15" s="39">
        <v>593811.19999999995</v>
      </c>
    </row>
    <row r="16" spans="1:8" x14ac:dyDescent="0.3">
      <c r="A16" s="164">
        <v>45200</v>
      </c>
      <c r="B16" s="39">
        <v>442264.63</v>
      </c>
    </row>
    <row r="17" spans="1:5" x14ac:dyDescent="0.3">
      <c r="A17" s="164">
        <v>45231</v>
      </c>
      <c r="B17" s="39">
        <v>434686.12</v>
      </c>
    </row>
    <row r="18" spans="1:5" x14ac:dyDescent="0.3">
      <c r="A18" s="164">
        <v>45261</v>
      </c>
      <c r="B18" s="39">
        <v>393899.63</v>
      </c>
    </row>
    <row r="19" spans="1:5" x14ac:dyDescent="0.3">
      <c r="A19" s="164">
        <v>45292</v>
      </c>
      <c r="B19" s="39">
        <v>428519.49</v>
      </c>
    </row>
    <row r="20" spans="1:5" x14ac:dyDescent="0.3">
      <c r="A20" s="164">
        <v>45323</v>
      </c>
      <c r="B20" s="39">
        <v>441367.84</v>
      </c>
      <c r="C20" s="39">
        <v>441367.84</v>
      </c>
      <c r="D20" s="39">
        <v>441367.84</v>
      </c>
      <c r="E20" s="39">
        <v>441367.84</v>
      </c>
    </row>
    <row r="21" spans="1:5" x14ac:dyDescent="0.3">
      <c r="A21" s="164">
        <v>45354</v>
      </c>
      <c r="C21" s="39">
        <f>_xlfn.FORECAST.ETS(A21,$B$2:$B$20,$A$2:$A$20,1,1)-(B9*33%)</f>
        <v>425958.09028834075</v>
      </c>
      <c r="D21" s="39">
        <f>C21-_xlfn.FORECAST.ETS.CONFINT(A21,$B$2:$B$20,$A$2:$A$20,0.95,1,1)</f>
        <v>200350.1776484563</v>
      </c>
      <c r="E21" s="39">
        <f>C21+_xlfn.FORECAST.ETS.CONFINT(A21,$B$2:$B$20,$A$2:$A$20,0.95,1,1)</f>
        <v>651566.00292822521</v>
      </c>
    </row>
    <row r="22" spans="1:5" x14ac:dyDescent="0.3">
      <c r="A22" s="164">
        <v>45385</v>
      </c>
      <c r="C22" s="39">
        <f>(B10*12.72%)+B10</f>
        <v>450976.78139199998</v>
      </c>
      <c r="D22" s="39">
        <f>C22-_xlfn.FORECAST.ETS.CONFINT(A22,$B$2:$B$20,$A$2:$A$20,0.95,1,1)</f>
        <v>225367.79869451898</v>
      </c>
      <c r="E22" s="39">
        <f>C22+_xlfn.FORECAST.ETS.CONFINT(A22,$B$2:$B$20,$A$2:$A$20,0.95,1,1)</f>
        <v>676585.76408948097</v>
      </c>
    </row>
    <row r="23" spans="1:5" x14ac:dyDescent="0.3">
      <c r="A23" s="164">
        <v>45416</v>
      </c>
      <c r="C23" s="39">
        <f t="shared" ref="C23:C25" si="0">(B11*12.72%)+B11</f>
        <v>664091.01847200003</v>
      </c>
      <c r="D23" s="39">
        <f>C23-_xlfn.FORECAST.ETS.CONFINT(A23,$B$2:$B$20,$A$2:$A$20,0.95,1,1)</f>
        <v>438480.0783415527</v>
      </c>
      <c r="E23" s="39">
        <f>C23+_xlfn.FORECAST.ETS.CONFINT(A23,$B$2:$B$20,$A$2:$A$20,0.95,1,1)</f>
        <v>889701.9586024473</v>
      </c>
    </row>
    <row r="24" spans="1:5" x14ac:dyDescent="0.3">
      <c r="A24" s="164">
        <v>45447</v>
      </c>
      <c r="C24" s="39">
        <f t="shared" si="0"/>
        <v>709567.66576</v>
      </c>
      <c r="D24" s="39">
        <f>C24-_xlfn.FORECAST.ETS.CONFINT(A24,$B$2:$B$20,$A$2:$A$20,0.95,1,1)</f>
        <v>483953.7724098732</v>
      </c>
      <c r="E24" s="39">
        <f>C24+_xlfn.FORECAST.ETS.CONFINT(A24,$B$2:$B$20,$A$2:$A$20,0.95,1,1)</f>
        <v>935181.55911012681</v>
      </c>
    </row>
    <row r="25" spans="1:5" x14ac:dyDescent="0.3">
      <c r="A25" s="164">
        <v>45478</v>
      </c>
      <c r="C25" s="39">
        <f t="shared" si="0"/>
        <v>811226.40707199997</v>
      </c>
      <c r="D25" s="39">
        <f>C25-_xlfn.FORECAST.ETS.CONFINT(A25,$B$2:$B$20,$A$2:$A$20,0.95,1,1)</f>
        <v>585608.14582218626</v>
      </c>
      <c r="E25" s="39">
        <f>C25+_xlfn.FORECAST.ETS.CONFINT(A25,$B$2:$B$20,$A$2:$A$20,0.95,1,1)</f>
        <v>1036844.6683218137</v>
      </c>
    </row>
    <row r="27" spans="1:5" x14ac:dyDescent="0.3">
      <c r="C27">
        <v>425958.09028834075</v>
      </c>
    </row>
    <row r="28" spans="1:5" x14ac:dyDescent="0.3">
      <c r="C28">
        <v>450976.78139199998</v>
      </c>
    </row>
    <row r="29" spans="1:5" x14ac:dyDescent="0.3">
      <c r="C29">
        <v>664091.01847200003</v>
      </c>
    </row>
    <row r="30" spans="1:5" x14ac:dyDescent="0.3">
      <c r="C30">
        <v>709567.66576</v>
      </c>
    </row>
    <row r="31" spans="1:5" x14ac:dyDescent="0.3">
      <c r="C31">
        <v>811226.40707199997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EB45-632C-46CB-87AF-C4789D446703}">
  <dimension ref="A1:H31"/>
  <sheetViews>
    <sheetView workbookViewId="0">
      <selection activeCell="E31" sqref="E31"/>
    </sheetView>
  </sheetViews>
  <sheetFormatPr defaultRowHeight="14.4" x14ac:dyDescent="0.3"/>
  <cols>
    <col min="1" max="1" width="13.77734375" bestFit="1" customWidth="1"/>
    <col min="2" max="2" width="11.5546875" bestFit="1" customWidth="1"/>
    <col min="3" max="3" width="13.21875" bestFit="1" customWidth="1"/>
    <col min="4" max="4" width="25.21875" customWidth="1"/>
    <col min="5" max="5" width="25.44140625" customWidth="1"/>
    <col min="7" max="7" width="10.21875" customWidth="1"/>
    <col min="8" max="8" width="8.21875" customWidth="1"/>
  </cols>
  <sheetData>
    <row r="1" spans="1:8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G1" t="s">
        <v>68</v>
      </c>
      <c r="H1" t="s">
        <v>69</v>
      </c>
    </row>
    <row r="2" spans="1:8" x14ac:dyDescent="0.3">
      <c r="A2" s="164">
        <v>44774</v>
      </c>
      <c r="B2" s="39">
        <v>180443.715</v>
      </c>
      <c r="G2" t="s">
        <v>70</v>
      </c>
      <c r="H2" s="165">
        <f>_xlfn.FORECAST.ETS.STAT($B$2:$B$20,$A$2:$A$20,1,1,1)</f>
        <v>0.75</v>
      </c>
    </row>
    <row r="3" spans="1:8" x14ac:dyDescent="0.3">
      <c r="A3" s="164">
        <v>44805</v>
      </c>
      <c r="B3" s="39">
        <v>123004.43</v>
      </c>
      <c r="G3" t="s">
        <v>71</v>
      </c>
      <c r="H3" s="165">
        <f>_xlfn.FORECAST.ETS.STAT($B$2:$B$20,$A$2:$A$20,2,1,1)</f>
        <v>1E-3</v>
      </c>
    </row>
    <row r="4" spans="1:8" x14ac:dyDescent="0.3">
      <c r="A4" s="164">
        <v>44835</v>
      </c>
      <c r="B4" s="39">
        <v>120148.05</v>
      </c>
      <c r="G4" t="s">
        <v>72</v>
      </c>
      <c r="H4" s="165">
        <f>_xlfn.FORECAST.ETS.STAT($B$2:$B$20,$A$2:$A$20,3,1,1)</f>
        <v>2.2204460492503131E-16</v>
      </c>
    </row>
    <row r="5" spans="1:8" x14ac:dyDescent="0.3">
      <c r="A5" s="164">
        <v>44866</v>
      </c>
      <c r="B5" s="39">
        <v>118978.53</v>
      </c>
      <c r="G5" t="s">
        <v>73</v>
      </c>
      <c r="H5" s="165">
        <f>_xlfn.FORECAST.ETS.STAT($B$2:$B$20,$A$2:$A$20,4,1,1)</f>
        <v>0.59133268890076651</v>
      </c>
    </row>
    <row r="6" spans="1:8" x14ac:dyDescent="0.3">
      <c r="A6" s="164">
        <v>44896</v>
      </c>
      <c r="B6" s="39">
        <v>138663.49</v>
      </c>
      <c r="G6" t="s">
        <v>74</v>
      </c>
      <c r="H6" s="165">
        <f>_xlfn.FORECAST.ETS.STAT($B$2:$B$20,$A$2:$A$20,5,1,1)</f>
        <v>0.1085558299026002</v>
      </c>
    </row>
    <row r="7" spans="1:8" x14ac:dyDescent="0.3">
      <c r="A7" s="164">
        <v>44927</v>
      </c>
      <c r="B7" s="39">
        <v>125906.76</v>
      </c>
      <c r="G7" t="s">
        <v>75</v>
      </c>
      <c r="H7" s="165">
        <f>_xlfn.FORECAST.ETS.STAT($B$2:$B$20,$A$2:$A$20,6,1,1)</f>
        <v>11433.249010079979</v>
      </c>
    </row>
    <row r="8" spans="1:8" x14ac:dyDescent="0.3">
      <c r="A8" s="164">
        <v>44958</v>
      </c>
      <c r="B8" s="39">
        <v>116840.05</v>
      </c>
      <c r="G8" t="s">
        <v>76</v>
      </c>
      <c r="H8" s="165">
        <f>_xlfn.FORECAST.ETS.STAT($B$2:$B$20,$A$2:$A$20,7,1,1)</f>
        <v>13546.513964479034</v>
      </c>
    </row>
    <row r="9" spans="1:8" x14ac:dyDescent="0.3">
      <c r="A9" s="164">
        <v>44986</v>
      </c>
      <c r="B9" s="39">
        <v>132329.51999999999</v>
      </c>
    </row>
    <row r="10" spans="1:8" x14ac:dyDescent="0.3">
      <c r="A10" s="164">
        <v>45017</v>
      </c>
      <c r="B10" s="39">
        <v>130717.9</v>
      </c>
    </row>
    <row r="11" spans="1:8" x14ac:dyDescent="0.3">
      <c r="A11" s="164">
        <v>45047</v>
      </c>
      <c r="B11" s="39">
        <v>162216.93</v>
      </c>
    </row>
    <row r="12" spans="1:8" x14ac:dyDescent="0.3">
      <c r="A12" s="164">
        <v>45078</v>
      </c>
      <c r="B12" s="39">
        <v>113345.57</v>
      </c>
    </row>
    <row r="13" spans="1:8" x14ac:dyDescent="0.3">
      <c r="A13" s="164">
        <v>45108</v>
      </c>
      <c r="B13" s="39">
        <v>125582.37</v>
      </c>
    </row>
    <row r="14" spans="1:8" x14ac:dyDescent="0.3">
      <c r="A14" s="164">
        <v>45139</v>
      </c>
      <c r="B14" s="39">
        <v>136449.21</v>
      </c>
    </row>
    <row r="15" spans="1:8" x14ac:dyDescent="0.3">
      <c r="A15" s="164">
        <v>45170</v>
      </c>
      <c r="B15" s="39">
        <v>111098.58</v>
      </c>
    </row>
    <row r="16" spans="1:8" x14ac:dyDescent="0.3">
      <c r="A16" s="164">
        <v>45200</v>
      </c>
      <c r="B16" s="39">
        <v>90769.68</v>
      </c>
    </row>
    <row r="17" spans="1:5" x14ac:dyDescent="0.3">
      <c r="A17" s="164">
        <v>45231</v>
      </c>
      <c r="B17" s="39">
        <v>93090.97</v>
      </c>
    </row>
    <row r="18" spans="1:5" x14ac:dyDescent="0.3">
      <c r="A18" s="164">
        <v>45261</v>
      </c>
      <c r="B18" s="39">
        <v>84292.02</v>
      </c>
    </row>
    <row r="19" spans="1:5" x14ac:dyDescent="0.3">
      <c r="A19" s="164">
        <v>45292</v>
      </c>
      <c r="B19" s="39">
        <v>95178.14</v>
      </c>
    </row>
    <row r="20" spans="1:5" x14ac:dyDescent="0.3">
      <c r="A20" s="164">
        <v>45323</v>
      </c>
      <c r="B20" s="39">
        <v>94759.56</v>
      </c>
      <c r="C20" s="39">
        <v>94759.56</v>
      </c>
      <c r="D20" s="39">
        <v>94759.56</v>
      </c>
      <c r="E20" s="39">
        <v>94759.56</v>
      </c>
    </row>
    <row r="21" spans="1:5" x14ac:dyDescent="0.3">
      <c r="A21" s="164">
        <v>45354</v>
      </c>
      <c r="C21" s="39">
        <f>_xlfn.FORECAST.ETS(A21,$B$2:$B$20,$A$2:$A$20,1,1)+(30%*B9)</f>
        <v>129873.64076740987</v>
      </c>
      <c r="D21" s="39">
        <f>C21-_xlfn.FORECAST.ETS.CONFINT(A21,$B$2:$B$20,$A$2:$A$20,0.95,1,1)</f>
        <v>88921.717535892036</v>
      </c>
      <c r="E21" s="39">
        <f>C21+_xlfn.FORECAST.ETS.CONFINT(A21,$B$2:$B$20,$A$2:$A$20,0.95,1,1)</f>
        <v>170825.56399892771</v>
      </c>
    </row>
    <row r="22" spans="1:5" x14ac:dyDescent="0.3">
      <c r="A22" s="164">
        <v>45385</v>
      </c>
      <c r="C22" s="39">
        <f>(B10*12.72%)+B10</f>
        <v>147345.21687999999</v>
      </c>
      <c r="D22" s="39">
        <f>C22-_xlfn.FORECAST.ETS.CONFINT(A22,$B$2:$B$20,$A$2:$A$20,0.95,1,1)</f>
        <v>96435.105196870514</v>
      </c>
      <c r="E22" s="39">
        <f>C22+_xlfn.FORECAST.ETS.CONFINT(A22,$B$2:$B$20,$A$2:$A$20,0.95,1,1)</f>
        <v>198255.32856312947</v>
      </c>
    </row>
    <row r="23" spans="1:5" x14ac:dyDescent="0.3">
      <c r="A23" s="164">
        <v>45416</v>
      </c>
      <c r="C23" s="39">
        <f t="shared" ref="C23:C25" si="0">(B11*12.72%)+B11</f>
        <v>182850.923496</v>
      </c>
      <c r="D23" s="39">
        <f>C23-_xlfn.FORECAST.ETS.CONFINT(A23,$B$2:$B$20,$A$2:$A$20,0.95,1,1)</f>
        <v>123397.4720498378</v>
      </c>
      <c r="E23" s="39">
        <f>C23+_xlfn.FORECAST.ETS.CONFINT(A23,$B$2:$B$20,$A$2:$A$20,0.95,1,1)</f>
        <v>242304.37494216219</v>
      </c>
    </row>
    <row r="24" spans="1:5" x14ac:dyDescent="0.3">
      <c r="A24" s="164">
        <v>45447</v>
      </c>
      <c r="C24" s="39">
        <f t="shared" si="0"/>
        <v>127763.12650400001</v>
      </c>
      <c r="D24" s="39">
        <f>C24-_xlfn.FORECAST.ETS.CONFINT(A24,$B$2:$B$20,$A$2:$A$20,0.95,1,1)</f>
        <v>61014.054634858883</v>
      </c>
      <c r="E24" s="39">
        <f>C24+_xlfn.FORECAST.ETS.CONFINT(A24,$B$2:$B$20,$A$2:$A$20,0.95,1,1)</f>
        <v>194512.19837314115</v>
      </c>
    </row>
    <row r="25" spans="1:5" x14ac:dyDescent="0.3">
      <c r="A25" s="164">
        <v>45478</v>
      </c>
      <c r="C25" s="39">
        <f t="shared" si="0"/>
        <v>141556.447464</v>
      </c>
      <c r="D25" s="39">
        <f>C25-_xlfn.FORECAST.ETS.CONFINT(A25,$B$2:$B$20,$A$2:$A$20,0.95,1,1)</f>
        <v>68055.271276802305</v>
      </c>
      <c r="E25" s="39">
        <f>C25+_xlfn.FORECAST.ETS.CONFINT(A25,$B$2:$B$20,$A$2:$A$20,0.95,1,1)</f>
        <v>215057.6236511977</v>
      </c>
    </row>
    <row r="27" spans="1:5" x14ac:dyDescent="0.3">
      <c r="C27">
        <v>129873.64076740987</v>
      </c>
    </row>
    <row r="28" spans="1:5" x14ac:dyDescent="0.3">
      <c r="C28">
        <v>147345.21687999999</v>
      </c>
    </row>
    <row r="29" spans="1:5" x14ac:dyDescent="0.3">
      <c r="C29">
        <v>182850.923496</v>
      </c>
    </row>
    <row r="30" spans="1:5" x14ac:dyDescent="0.3">
      <c r="C30">
        <v>127763.12650400001</v>
      </c>
    </row>
    <row r="31" spans="1:5" x14ac:dyDescent="0.3">
      <c r="C31">
        <v>141556.447464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6EE8-D8CA-4EDB-BB32-34101E6D6AA7}">
  <dimension ref="A1:H31"/>
  <sheetViews>
    <sheetView workbookViewId="0">
      <selection activeCell="D28" sqref="D28"/>
    </sheetView>
  </sheetViews>
  <sheetFormatPr defaultRowHeight="14.4" x14ac:dyDescent="0.3"/>
  <cols>
    <col min="1" max="1" width="13.77734375" bestFit="1" customWidth="1"/>
    <col min="2" max="2" width="9.5546875" bestFit="1" customWidth="1"/>
    <col min="3" max="3" width="10.5546875" customWidth="1"/>
    <col min="4" max="4" width="25.21875" customWidth="1"/>
    <col min="5" max="5" width="25.44140625" customWidth="1"/>
    <col min="7" max="7" width="10.21875" customWidth="1"/>
    <col min="8" max="8" width="8.21875" customWidth="1"/>
  </cols>
  <sheetData>
    <row r="1" spans="1:8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G1" t="s">
        <v>68</v>
      </c>
      <c r="H1" t="s">
        <v>69</v>
      </c>
    </row>
    <row r="2" spans="1:8" x14ac:dyDescent="0.3">
      <c r="A2" s="164">
        <v>44774</v>
      </c>
      <c r="B2" s="39">
        <v>5441.5150000000003</v>
      </c>
      <c r="G2" t="s">
        <v>70</v>
      </c>
      <c r="H2" s="165">
        <f>_xlfn.FORECAST.ETS.STAT($B$2:$B$19,$A$2:$A$19,1,1,1)</f>
        <v>0.9</v>
      </c>
    </row>
    <row r="3" spans="1:8" x14ac:dyDescent="0.3">
      <c r="A3" s="164">
        <v>44805</v>
      </c>
      <c r="B3" s="39">
        <v>5558.01</v>
      </c>
      <c r="G3" t="s">
        <v>71</v>
      </c>
      <c r="H3" s="165">
        <f>_xlfn.FORECAST.ETS.STAT($B$2:$B$19,$A$2:$A$19,2,1,1)</f>
        <v>1E-3</v>
      </c>
    </row>
    <row r="4" spans="1:8" x14ac:dyDescent="0.3">
      <c r="A4" s="164">
        <v>44835</v>
      </c>
      <c r="B4" s="39">
        <v>5378.02</v>
      </c>
      <c r="G4" t="s">
        <v>72</v>
      </c>
      <c r="H4" s="165">
        <f>_xlfn.FORECAST.ETS.STAT($B$2:$B$19,$A$2:$A$19,3,1,1)</f>
        <v>2.2204460492503131E-16</v>
      </c>
    </row>
    <row r="5" spans="1:8" x14ac:dyDescent="0.3">
      <c r="A5" s="164">
        <v>44866</v>
      </c>
      <c r="B5" s="39">
        <v>6036.51</v>
      </c>
      <c r="G5" t="s">
        <v>73</v>
      </c>
      <c r="H5" s="165">
        <f>_xlfn.FORECAST.ETS.STAT($B$2:$B$19,$A$2:$A$19,4,1,1)</f>
        <v>0.53170678433684992</v>
      </c>
    </row>
    <row r="6" spans="1:8" x14ac:dyDescent="0.3">
      <c r="A6" s="164">
        <v>44896</v>
      </c>
      <c r="B6" s="39">
        <v>5378.02</v>
      </c>
      <c r="G6" t="s">
        <v>74</v>
      </c>
      <c r="H6" s="165">
        <f>_xlfn.FORECAST.ETS.STAT($B$2:$B$19,$A$2:$A$19,5,1,1)</f>
        <v>3.1391818724433085E-2</v>
      </c>
    </row>
    <row r="7" spans="1:8" x14ac:dyDescent="0.3">
      <c r="A7" s="164">
        <v>44927</v>
      </c>
      <c r="B7" s="39">
        <v>5558.01</v>
      </c>
      <c r="G7" t="s">
        <v>75</v>
      </c>
      <c r="H7" s="165">
        <f>_xlfn.FORECAST.ETS.STAT($B$2:$B$19,$A$2:$A$19,6,1,1)</f>
        <v>219.57655804705934</v>
      </c>
    </row>
    <row r="8" spans="1:8" x14ac:dyDescent="0.3">
      <c r="A8" s="164">
        <v>44958</v>
      </c>
      <c r="B8" s="39">
        <v>5558.01</v>
      </c>
      <c r="G8" t="s">
        <v>76</v>
      </c>
      <c r="H8" s="165">
        <f>_xlfn.FORECAST.ETS.STAT($B$2:$B$19,$A$2:$A$19,7,1,1)</f>
        <v>254.25306389579868</v>
      </c>
    </row>
    <row r="9" spans="1:8" x14ac:dyDescent="0.3">
      <c r="A9" s="164">
        <v>44986</v>
      </c>
      <c r="B9" s="39">
        <v>5020.45</v>
      </c>
    </row>
    <row r="10" spans="1:8" x14ac:dyDescent="0.3">
      <c r="A10" s="164">
        <v>45017</v>
      </c>
      <c r="B10" s="39">
        <v>5558.01</v>
      </c>
    </row>
    <row r="11" spans="1:8" x14ac:dyDescent="0.3">
      <c r="A11" s="164">
        <v>45047</v>
      </c>
      <c r="B11" s="39">
        <v>5378.02</v>
      </c>
    </row>
    <row r="12" spans="1:8" x14ac:dyDescent="0.3">
      <c r="A12" s="164">
        <v>45078</v>
      </c>
      <c r="B12" s="39">
        <v>6459.11</v>
      </c>
    </row>
    <row r="13" spans="1:8" x14ac:dyDescent="0.3">
      <c r="A13" s="164">
        <v>45108</v>
      </c>
      <c r="B13" s="39">
        <v>6850.58</v>
      </c>
    </row>
    <row r="14" spans="1:8" x14ac:dyDescent="0.3">
      <c r="A14" s="164">
        <v>45139</v>
      </c>
      <c r="B14" s="39">
        <v>7152.71</v>
      </c>
    </row>
    <row r="15" spans="1:8" x14ac:dyDescent="0.3">
      <c r="A15" s="164">
        <v>45170</v>
      </c>
      <c r="B15" s="39">
        <v>7152.71</v>
      </c>
    </row>
    <row r="16" spans="1:8" x14ac:dyDescent="0.3">
      <c r="A16" s="164">
        <v>45200</v>
      </c>
      <c r="B16" s="39">
        <v>6921.08</v>
      </c>
    </row>
    <row r="17" spans="1:5" x14ac:dyDescent="0.3">
      <c r="A17" s="164">
        <v>45231</v>
      </c>
      <c r="B17" s="39">
        <v>7152.71</v>
      </c>
    </row>
    <row r="18" spans="1:5" x14ac:dyDescent="0.3">
      <c r="A18" s="164">
        <v>45261</v>
      </c>
      <c r="B18" s="39">
        <v>6921.08</v>
      </c>
    </row>
    <row r="19" spans="1:5" x14ac:dyDescent="0.3">
      <c r="A19" s="164">
        <v>45292</v>
      </c>
      <c r="B19" s="39">
        <v>7152.71</v>
      </c>
      <c r="C19" s="39">
        <v>7152.71</v>
      </c>
      <c r="D19" s="39">
        <v>7152.71</v>
      </c>
      <c r="E19" s="39">
        <v>7152.71</v>
      </c>
    </row>
    <row r="20" spans="1:5" x14ac:dyDescent="0.3">
      <c r="A20" s="164">
        <v>45323</v>
      </c>
      <c r="C20" s="39">
        <f>_xlfn.FORECAST.ETS(A20,$B$2:$B$19,$A$2:$A$19,1,1)</f>
        <v>7268.8419171707501</v>
      </c>
      <c r="D20" s="39">
        <f>C20-_xlfn.FORECAST.ETS.CONFINT(A20,$B$2:$B$19,$A$2:$A$19,0.95,1,1)</f>
        <v>6486.7896620826359</v>
      </c>
      <c r="E20" s="39">
        <f>C20+_xlfn.FORECAST.ETS.CONFINT(A20,$B$2:$B$19,$A$2:$A$19,0.95,1,1)</f>
        <v>8050.8941722588643</v>
      </c>
    </row>
    <row r="21" spans="1:5" x14ac:dyDescent="0.3">
      <c r="A21" s="164">
        <v>45354</v>
      </c>
      <c r="C21" s="39">
        <f>_xlfn.FORECAST.ETS(A21,$B$2:$B$19,$A$2:$A$19,1,1)</f>
        <v>7400.2804751463409</v>
      </c>
      <c r="D21" s="39">
        <f>C21-_xlfn.FORECAST.ETS.CONFINT(A21,$B$2:$B$19,$A$2:$A$19,0.95,1,1)</f>
        <v>6332.4736515436671</v>
      </c>
      <c r="E21" s="39">
        <f>C21+_xlfn.FORECAST.ETS.CONFINT(A21,$B$2:$B$19,$A$2:$A$19,0.95,1,1)</f>
        <v>8468.0872987490147</v>
      </c>
    </row>
    <row r="22" spans="1:5" x14ac:dyDescent="0.3">
      <c r="A22" s="164">
        <v>45385</v>
      </c>
      <c r="C22" s="39">
        <f>_xlfn.FORECAST.ETS(A22,$B$2:$B$19,$A$2:$A$19,1,1)</f>
        <v>7524.0185923516447</v>
      </c>
      <c r="D22" s="39">
        <f>C22-_xlfn.FORECAST.ETS.CONFINT(A22,$B$2:$B$19,$A$2:$A$19,0.95,1,1)</f>
        <v>6243.799862922222</v>
      </c>
      <c r="E22" s="39">
        <f>C22+_xlfn.FORECAST.ETS.CONFINT(A22,$B$2:$B$19,$A$2:$A$19,0.95,1,1)</f>
        <v>8804.2373217810673</v>
      </c>
    </row>
    <row r="23" spans="1:5" x14ac:dyDescent="0.3">
      <c r="A23" s="164">
        <v>45416</v>
      </c>
      <c r="C23" s="39">
        <f>_xlfn.FORECAST.ETS(A23,$B$2:$B$19,$A$2:$A$19,1,1)</f>
        <v>7651.20863128156</v>
      </c>
      <c r="D23" s="39">
        <f>C23-_xlfn.FORECAST.ETS.CONFINT(A23,$B$2:$B$19,$A$2:$A$19,0.95,1,1)</f>
        <v>6183.9695053023261</v>
      </c>
      <c r="E23" s="39">
        <f>C23+_xlfn.FORECAST.ETS.CONFINT(A23,$B$2:$B$19,$A$2:$A$19,0.95,1,1)</f>
        <v>9118.4477572607939</v>
      </c>
    </row>
    <row r="24" spans="1:5" x14ac:dyDescent="0.3">
      <c r="A24" s="164">
        <v>45447</v>
      </c>
      <c r="C24" s="39">
        <f>_xlfn.FORECAST.ETS(A24,$B$2:$B$19,$A$2:$A$19,1,1)</f>
        <v>7775.0795147070421</v>
      </c>
      <c r="D24" s="39">
        <f>C24-_xlfn.FORECAST.ETS.CONFINT(A24,$B$2:$B$19,$A$2:$A$19,0.95,1,1)</f>
        <v>6145.8687906259238</v>
      </c>
      <c r="E24" s="39">
        <f>C24+_xlfn.FORECAST.ETS.CONFINT(A24,$B$2:$B$19,$A$2:$A$19,0.95,1,1)</f>
        <v>9404.2902387881604</v>
      </c>
    </row>
    <row r="27" spans="1:5" x14ac:dyDescent="0.3">
      <c r="C27">
        <v>7268.8419171707501</v>
      </c>
    </row>
    <row r="28" spans="1:5" x14ac:dyDescent="0.3">
      <c r="C28">
        <v>7400.2804751463409</v>
      </c>
    </row>
    <row r="29" spans="1:5" x14ac:dyDescent="0.3">
      <c r="C29">
        <v>7524.0185923516447</v>
      </c>
    </row>
    <row r="30" spans="1:5" x14ac:dyDescent="0.3">
      <c r="C30">
        <v>7651.20863128156</v>
      </c>
    </row>
    <row r="31" spans="1:5" x14ac:dyDescent="0.3">
      <c r="C31">
        <v>7775.0795147070421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4797-5CE2-4805-AF3D-232E05CE3906}">
  <dimension ref="A1:E36"/>
  <sheetViews>
    <sheetView topLeftCell="A25" workbookViewId="0">
      <selection activeCell="H29" sqref="H29"/>
    </sheetView>
  </sheetViews>
  <sheetFormatPr defaultRowHeight="14.4" x14ac:dyDescent="0.3"/>
  <cols>
    <col min="1" max="1" width="12.5546875" bestFit="1" customWidth="1"/>
    <col min="2" max="3" width="11.218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440972.05</v>
      </c>
    </row>
    <row r="3" spans="1:5" x14ac:dyDescent="0.3">
      <c r="A3" s="164">
        <v>44805</v>
      </c>
      <c r="B3" s="39">
        <v>315232.21000000002</v>
      </c>
    </row>
    <row r="4" spans="1:5" x14ac:dyDescent="0.3">
      <c r="A4" s="164">
        <v>44835</v>
      </c>
      <c r="B4" s="39">
        <v>322014.64</v>
      </c>
    </row>
    <row r="5" spans="1:5" x14ac:dyDescent="0.3">
      <c r="A5" s="164">
        <v>44866</v>
      </c>
      <c r="B5" s="39">
        <v>303310.43</v>
      </c>
    </row>
    <row r="6" spans="1:5" x14ac:dyDescent="0.3">
      <c r="A6" s="164">
        <v>44896</v>
      </c>
      <c r="B6" s="39">
        <v>320377.34999999998</v>
      </c>
    </row>
    <row r="7" spans="1:5" x14ac:dyDescent="0.3">
      <c r="A7" s="164">
        <v>44927</v>
      </c>
      <c r="B7" s="39">
        <v>312570.65000000002</v>
      </c>
    </row>
    <row r="8" spans="1:5" x14ac:dyDescent="0.3">
      <c r="A8" s="164">
        <v>44958</v>
      </c>
      <c r="B8" s="39">
        <v>294309.82</v>
      </c>
    </row>
    <row r="9" spans="1:5" x14ac:dyDescent="0.3">
      <c r="A9" s="164">
        <v>44986</v>
      </c>
      <c r="B9" s="39">
        <v>335307.18</v>
      </c>
    </row>
    <row r="10" spans="1:5" x14ac:dyDescent="0.3">
      <c r="A10" s="164">
        <v>45017</v>
      </c>
      <c r="B10" s="39">
        <v>344778.29</v>
      </c>
    </row>
    <row r="11" spans="1:5" x14ac:dyDescent="0.3">
      <c r="A11" s="164">
        <v>45047</v>
      </c>
      <c r="B11" s="39">
        <v>432983.97</v>
      </c>
    </row>
    <row r="12" spans="1:5" x14ac:dyDescent="0.3">
      <c r="A12" s="164">
        <v>45078</v>
      </c>
      <c r="B12" s="39">
        <v>491744.23</v>
      </c>
    </row>
    <row r="13" spans="1:5" x14ac:dyDescent="0.3">
      <c r="A13" s="164">
        <v>45108</v>
      </c>
      <c r="B13" s="39">
        <v>568340.36</v>
      </c>
    </row>
    <row r="14" spans="1:5" x14ac:dyDescent="0.3">
      <c r="A14" s="164">
        <v>45139</v>
      </c>
      <c r="B14" s="39">
        <v>626577.21</v>
      </c>
    </row>
    <row r="15" spans="1:5" x14ac:dyDescent="0.3">
      <c r="A15" s="164">
        <v>45170</v>
      </c>
      <c r="B15" s="39">
        <v>513651.61</v>
      </c>
    </row>
    <row r="16" spans="1:5" x14ac:dyDescent="0.3">
      <c r="A16" s="164">
        <v>45200</v>
      </c>
      <c r="B16" s="39">
        <v>388035.79</v>
      </c>
    </row>
    <row r="17" spans="1:5" x14ac:dyDescent="0.3">
      <c r="A17" s="164">
        <v>45231</v>
      </c>
      <c r="B17" s="39">
        <v>400268.64</v>
      </c>
    </row>
    <row r="18" spans="1:5" x14ac:dyDescent="0.3">
      <c r="A18" s="164">
        <v>45261</v>
      </c>
      <c r="B18" s="39">
        <v>385329.89</v>
      </c>
    </row>
    <row r="19" spans="1:5" x14ac:dyDescent="0.3">
      <c r="A19" s="164">
        <v>45292</v>
      </c>
      <c r="B19" s="39">
        <v>373294.45</v>
      </c>
    </row>
    <row r="20" spans="1:5" x14ac:dyDescent="0.3">
      <c r="A20" s="164">
        <v>45323</v>
      </c>
      <c r="B20" s="39">
        <v>389534.63</v>
      </c>
    </row>
    <row r="21" spans="1:5" x14ac:dyDescent="0.3">
      <c r="A21" s="164">
        <v>45352</v>
      </c>
      <c r="B21" s="39">
        <v>366958.82</v>
      </c>
    </row>
    <row r="22" spans="1:5" x14ac:dyDescent="0.3">
      <c r="A22" s="164">
        <v>45383</v>
      </c>
      <c r="B22" s="39">
        <v>376887.42</v>
      </c>
    </row>
    <row r="23" spans="1:5" x14ac:dyDescent="0.3">
      <c r="A23" s="164">
        <v>45413</v>
      </c>
      <c r="B23" s="39">
        <v>380862.84</v>
      </c>
    </row>
    <row r="24" spans="1:5" x14ac:dyDescent="0.3">
      <c r="A24" s="164">
        <v>45444</v>
      </c>
      <c r="B24" s="39">
        <v>460757.95</v>
      </c>
    </row>
    <row r="25" spans="1:5" x14ac:dyDescent="0.3">
      <c r="A25" s="164">
        <v>45474</v>
      </c>
      <c r="B25" s="39">
        <v>512614.61</v>
      </c>
    </row>
    <row r="26" spans="1:5" x14ac:dyDescent="0.3">
      <c r="A26" s="164">
        <v>45505</v>
      </c>
      <c r="B26" s="39">
        <v>512614.61</v>
      </c>
    </row>
    <row r="27" spans="1:5" x14ac:dyDescent="0.3">
      <c r="A27" s="164">
        <v>45536</v>
      </c>
      <c r="B27" s="39">
        <v>571562.80000000005</v>
      </c>
    </row>
    <row r="28" spans="1:5" x14ac:dyDescent="0.3">
      <c r="A28" s="164">
        <v>45566</v>
      </c>
      <c r="B28" s="39">
        <v>419432.71</v>
      </c>
    </row>
    <row r="29" spans="1:5" x14ac:dyDescent="0.3">
      <c r="A29" s="164">
        <v>45597</v>
      </c>
      <c r="B29" s="39">
        <v>433058.77</v>
      </c>
      <c r="C29" s="39">
        <v>433058.77</v>
      </c>
      <c r="D29" s="39">
        <v>433058.77</v>
      </c>
      <c r="E29" s="39">
        <v>433058.77</v>
      </c>
    </row>
    <row r="30" spans="1:5" x14ac:dyDescent="0.3">
      <c r="A30" s="164">
        <v>45628</v>
      </c>
      <c r="C30" s="39">
        <f t="shared" ref="C30:C36" si="0">_xlfn.FORECAST.ETS(A30,$B$2:$B$29,$A$2:$A$29,1,1)</f>
        <v>438569.53672408854</v>
      </c>
      <c r="D30" s="39">
        <f t="shared" ref="D30:D36" si="1">C30-_xlfn.FORECAST.ETS.CONFINT(A30,$B$2:$B$29,$A$2:$A$29,0.95,1,1)</f>
        <v>314466.19023602846</v>
      </c>
      <c r="E30" s="39">
        <f t="shared" ref="E30:E36" si="2">C30+_xlfn.FORECAST.ETS.CONFINT(A30,$B$2:$B$29,$A$2:$A$29,0.95,1,1)</f>
        <v>562672.88321214868</v>
      </c>
    </row>
    <row r="31" spans="1:5" x14ac:dyDescent="0.3">
      <c r="A31" s="164">
        <v>45659</v>
      </c>
      <c r="C31" s="39">
        <f t="shared" si="0"/>
        <v>443300.55339271919</v>
      </c>
      <c r="D31" s="39">
        <f t="shared" si="1"/>
        <v>277208.66101236991</v>
      </c>
      <c r="E31" s="39">
        <f t="shared" si="2"/>
        <v>609392.44577306847</v>
      </c>
    </row>
    <row r="32" spans="1:5" x14ac:dyDescent="0.3">
      <c r="A32" s="164">
        <v>45690</v>
      </c>
      <c r="C32" s="39">
        <f t="shared" si="0"/>
        <v>448047.92150144873</v>
      </c>
      <c r="D32" s="39">
        <f t="shared" si="1"/>
        <v>248446.43834932375</v>
      </c>
      <c r="E32" s="39">
        <f t="shared" si="2"/>
        <v>647649.40465357364</v>
      </c>
    </row>
    <row r="33" spans="1:5" x14ac:dyDescent="0.3">
      <c r="A33" s="164">
        <v>45721</v>
      </c>
      <c r="C33" s="39">
        <f t="shared" si="0"/>
        <v>453220.42705275113</v>
      </c>
      <c r="D33" s="39">
        <f t="shared" si="1"/>
        <v>222516.18893434361</v>
      </c>
      <c r="E33" s="39">
        <f t="shared" si="2"/>
        <v>683924.66517115862</v>
      </c>
    </row>
    <row r="34" spans="1:5" x14ac:dyDescent="0.3">
      <c r="A34" s="164">
        <v>45752</v>
      </c>
      <c r="C34" s="39">
        <f t="shared" si="0"/>
        <v>457971.79218017159</v>
      </c>
      <c r="D34" s="39">
        <f t="shared" si="1"/>
        <v>201952.07764474524</v>
      </c>
      <c r="E34" s="39">
        <f t="shared" si="2"/>
        <v>713991.50671559793</v>
      </c>
    </row>
    <row r="35" spans="1:5" x14ac:dyDescent="0.3">
      <c r="A35" s="164">
        <v>45783</v>
      </c>
      <c r="C35" s="39">
        <f t="shared" si="0"/>
        <v>462835.07383093599</v>
      </c>
      <c r="D35" s="39">
        <f t="shared" si="1"/>
        <v>183216.47149609291</v>
      </c>
      <c r="E35" s="39">
        <f t="shared" si="2"/>
        <v>742453.67616577912</v>
      </c>
    </row>
    <row r="36" spans="1:5" x14ac:dyDescent="0.3">
      <c r="A36" s="164">
        <v>45814</v>
      </c>
      <c r="C36" s="39">
        <f t="shared" si="0"/>
        <v>467591.52607305383</v>
      </c>
      <c r="D36" s="39">
        <f t="shared" si="1"/>
        <v>166631.49837183201</v>
      </c>
      <c r="E36" s="39">
        <f t="shared" si="2"/>
        <v>768551.55377427558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5B19-6776-4E9C-BDF7-2A60D7870E9A}">
  <dimension ref="A1:E49"/>
  <sheetViews>
    <sheetView topLeftCell="A38" workbookViewId="0">
      <selection activeCell="M37" sqref="M37"/>
    </sheetView>
  </sheetViews>
  <sheetFormatPr defaultRowHeight="14.4" x14ac:dyDescent="0.3"/>
  <cols>
    <col min="1" max="1" width="12.5546875" bestFit="1" customWidth="1"/>
    <col min="2" max="3" width="14.777343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208343291.19999999</v>
      </c>
    </row>
    <row r="3" spans="1:5" x14ac:dyDescent="0.3">
      <c r="A3" s="164">
        <v>44805</v>
      </c>
      <c r="B3" s="39">
        <v>120023709.54000001</v>
      </c>
    </row>
    <row r="4" spans="1:5" x14ac:dyDescent="0.3">
      <c r="A4" s="164">
        <v>44835</v>
      </c>
      <c r="B4" s="39">
        <v>120111620.78</v>
      </c>
    </row>
    <row r="5" spans="1:5" x14ac:dyDescent="0.3">
      <c r="A5" s="164">
        <v>44866</v>
      </c>
      <c r="B5" s="39">
        <v>118568754.98999999</v>
      </c>
    </row>
    <row r="6" spans="1:5" x14ac:dyDescent="0.3">
      <c r="A6" s="164">
        <v>44896</v>
      </c>
      <c r="B6" s="39">
        <v>109712490.7</v>
      </c>
    </row>
    <row r="7" spans="1:5" x14ac:dyDescent="0.3">
      <c r="A7" s="164">
        <v>44927</v>
      </c>
      <c r="B7" s="39">
        <v>119865906.34</v>
      </c>
    </row>
    <row r="8" spans="1:5" x14ac:dyDescent="0.3">
      <c r="A8" s="164">
        <v>44958</v>
      </c>
      <c r="B8" s="39">
        <v>112238319.48</v>
      </c>
    </row>
    <row r="9" spans="1:5" x14ac:dyDescent="0.3">
      <c r="A9" s="164">
        <v>44986</v>
      </c>
      <c r="B9" s="39">
        <v>122813349.93000001</v>
      </c>
    </row>
    <row r="10" spans="1:5" x14ac:dyDescent="0.3">
      <c r="A10" s="164">
        <v>45017</v>
      </c>
      <c r="B10" s="39">
        <v>117572062.88</v>
      </c>
    </row>
    <row r="11" spans="1:5" x14ac:dyDescent="0.3">
      <c r="A11" s="164">
        <v>45047</v>
      </c>
      <c r="B11" s="39">
        <v>274666188.64999998</v>
      </c>
    </row>
    <row r="12" spans="1:5" x14ac:dyDescent="0.3">
      <c r="A12" s="164">
        <v>45078</v>
      </c>
      <c r="B12" s="39">
        <v>260567700.24000001</v>
      </c>
    </row>
    <row r="13" spans="1:5" x14ac:dyDescent="0.3">
      <c r="A13" s="164">
        <v>45108</v>
      </c>
      <c r="B13" s="39">
        <v>277013750.64999998</v>
      </c>
    </row>
    <row r="14" spans="1:5" x14ac:dyDescent="0.3">
      <c r="A14" s="164">
        <v>45139</v>
      </c>
      <c r="B14" s="39">
        <v>263433752.09</v>
      </c>
    </row>
    <row r="15" spans="1:5" x14ac:dyDescent="0.3">
      <c r="A15" s="164">
        <v>45170</v>
      </c>
      <c r="B15" s="39">
        <v>169733900.40000001</v>
      </c>
    </row>
    <row r="16" spans="1:5" x14ac:dyDescent="0.3">
      <c r="A16" s="164">
        <v>45200</v>
      </c>
      <c r="B16" s="39">
        <v>145463723.53999999</v>
      </c>
    </row>
    <row r="17" spans="1:5" x14ac:dyDescent="0.3">
      <c r="A17" s="164">
        <v>45231</v>
      </c>
      <c r="B17" s="39">
        <v>145818937.69</v>
      </c>
    </row>
    <row r="18" spans="1:5" x14ac:dyDescent="0.3">
      <c r="A18" s="164">
        <v>45261</v>
      </c>
      <c r="B18" s="39">
        <v>134855203.44</v>
      </c>
    </row>
    <row r="19" spans="1:5" x14ac:dyDescent="0.3">
      <c r="A19" s="164">
        <v>45292</v>
      </c>
      <c r="B19" s="39">
        <v>136886068.88</v>
      </c>
    </row>
    <row r="20" spans="1:5" x14ac:dyDescent="0.3">
      <c r="A20" s="164">
        <v>45323</v>
      </c>
      <c r="B20" s="39">
        <v>148929316.33000001</v>
      </c>
    </row>
    <row r="21" spans="1:5" x14ac:dyDescent="0.3">
      <c r="A21" s="164">
        <v>45352</v>
      </c>
      <c r="B21" s="39">
        <v>308892054.16000003</v>
      </c>
    </row>
    <row r="22" spans="1:5" x14ac:dyDescent="0.3">
      <c r="A22" s="164">
        <v>45383</v>
      </c>
      <c r="B22" s="39">
        <v>296927274.94999999</v>
      </c>
    </row>
    <row r="23" spans="1:5" x14ac:dyDescent="0.3">
      <c r="A23" s="164">
        <v>45413</v>
      </c>
      <c r="B23" s="39">
        <v>187906578.78</v>
      </c>
    </row>
    <row r="24" spans="1:5" x14ac:dyDescent="0.3">
      <c r="A24" s="164">
        <v>45444</v>
      </c>
      <c r="B24" s="39">
        <v>158400595.19</v>
      </c>
    </row>
    <row r="25" spans="1:5" x14ac:dyDescent="0.3">
      <c r="A25" s="164">
        <v>45474</v>
      </c>
      <c r="B25" s="39">
        <v>162592307.16</v>
      </c>
    </row>
    <row r="26" spans="1:5" x14ac:dyDescent="0.3">
      <c r="A26" s="164">
        <v>45505</v>
      </c>
      <c r="B26" s="39">
        <v>296927274.94999999</v>
      </c>
    </row>
    <row r="27" spans="1:5" x14ac:dyDescent="0.3">
      <c r="A27" s="164">
        <v>45536</v>
      </c>
      <c r="B27" s="39">
        <v>187906578.78</v>
      </c>
    </row>
    <row r="28" spans="1:5" x14ac:dyDescent="0.3">
      <c r="A28" s="164">
        <v>45566</v>
      </c>
      <c r="B28" s="39">
        <v>158400595.19</v>
      </c>
    </row>
    <row r="29" spans="1:5" x14ac:dyDescent="0.3">
      <c r="A29" s="164">
        <v>45597</v>
      </c>
      <c r="B29" s="39">
        <v>162592307.16</v>
      </c>
      <c r="C29" s="39">
        <v>162592307.16</v>
      </c>
      <c r="D29" s="39">
        <v>162592307.16</v>
      </c>
      <c r="E29" s="39">
        <v>162592307.16</v>
      </c>
    </row>
    <row r="30" spans="1:5" x14ac:dyDescent="0.3">
      <c r="A30" s="164">
        <v>45628</v>
      </c>
      <c r="C30" s="39">
        <f t="shared" ref="C30:C49" si="0">_xlfn.FORECAST.ETS(A30,$B$2:$B$29,$A$2:$A$29,1,1)</f>
        <v>290527904.80721515</v>
      </c>
      <c r="D30" s="39">
        <f t="shared" ref="D30:D49" si="1">C30-_xlfn.FORECAST.ETS.CONFINT(A30,$B$2:$B$29,$A$2:$A$29,0.95,1,1)</f>
        <v>174936861.27063352</v>
      </c>
      <c r="E30" s="39">
        <f t="shared" ref="E30:E49" si="2">C30+_xlfn.FORECAST.ETS.CONFINT(A30,$B$2:$B$29,$A$2:$A$29,0.95,1,1)</f>
        <v>406118948.34379679</v>
      </c>
    </row>
    <row r="31" spans="1:5" x14ac:dyDescent="0.3">
      <c r="A31" s="164">
        <v>45659</v>
      </c>
      <c r="C31" s="39">
        <f t="shared" si="0"/>
        <v>291177994.28121203</v>
      </c>
      <c r="D31" s="39">
        <f t="shared" si="1"/>
        <v>171979557.72997773</v>
      </c>
      <c r="E31" s="39">
        <f t="shared" si="2"/>
        <v>410376430.83244634</v>
      </c>
    </row>
    <row r="32" spans="1:5" x14ac:dyDescent="0.3">
      <c r="A32" s="164">
        <v>45690</v>
      </c>
      <c r="C32" s="39">
        <f t="shared" si="0"/>
        <v>233471920.54608765</v>
      </c>
      <c r="D32" s="39">
        <f t="shared" si="1"/>
        <v>110732550.51945509</v>
      </c>
      <c r="E32" s="39">
        <f t="shared" si="2"/>
        <v>356211290.57272023</v>
      </c>
    </row>
    <row r="33" spans="1:5" x14ac:dyDescent="0.3">
      <c r="A33" s="164">
        <v>45721</v>
      </c>
      <c r="C33" s="39">
        <f t="shared" si="0"/>
        <v>189996713.56792304</v>
      </c>
      <c r="D33" s="39">
        <f t="shared" si="1"/>
        <v>63480467.111239374</v>
      </c>
      <c r="E33" s="39">
        <f t="shared" si="2"/>
        <v>316512960.0246067</v>
      </c>
    </row>
    <row r="34" spans="1:5" x14ac:dyDescent="0.3">
      <c r="A34" s="164">
        <v>45752</v>
      </c>
      <c r="C34" s="39">
        <f t="shared" si="0"/>
        <v>189154531.08904555</v>
      </c>
      <c r="D34" s="39">
        <f t="shared" si="1"/>
        <v>59239020.051997572</v>
      </c>
      <c r="E34" s="39">
        <f t="shared" si="2"/>
        <v>319070042.12609351</v>
      </c>
    </row>
    <row r="35" spans="1:5" x14ac:dyDescent="0.3">
      <c r="A35" s="164">
        <v>45783</v>
      </c>
      <c r="C35" s="39">
        <f t="shared" si="0"/>
        <v>209372075.02100307</v>
      </c>
      <c r="D35" s="39">
        <f t="shared" si="1"/>
        <v>76040049.598240346</v>
      </c>
      <c r="E35" s="39">
        <f t="shared" si="2"/>
        <v>342704100.44376576</v>
      </c>
    </row>
    <row r="36" spans="1:5" x14ac:dyDescent="0.3">
      <c r="A36" s="164">
        <v>45814</v>
      </c>
      <c r="C36" s="39">
        <f t="shared" si="0"/>
        <v>177094895.66910878</v>
      </c>
      <c r="D36" s="39">
        <f t="shared" si="1"/>
        <v>40478629.776183754</v>
      </c>
      <c r="E36" s="39">
        <f t="shared" si="2"/>
        <v>313711161.56203377</v>
      </c>
    </row>
    <row r="37" spans="1:5" x14ac:dyDescent="0.3">
      <c r="A37" s="164">
        <v>45845</v>
      </c>
      <c r="C37" s="39">
        <f t="shared" si="0"/>
        <v>187071708.87784362</v>
      </c>
      <c r="D37" s="39">
        <f t="shared" si="1"/>
        <v>47154732.589932382</v>
      </c>
      <c r="E37" s="39">
        <f t="shared" si="2"/>
        <v>326988685.16575485</v>
      </c>
    </row>
    <row r="38" spans="1:5" x14ac:dyDescent="0.3">
      <c r="A38" s="164">
        <v>45876</v>
      </c>
      <c r="C38" s="39">
        <f t="shared" si="0"/>
        <v>273825007.56585979</v>
      </c>
      <c r="D38" s="39">
        <f t="shared" si="1"/>
        <v>129017017.12076655</v>
      </c>
      <c r="E38" s="39">
        <f t="shared" si="2"/>
        <v>418632998.01095307</v>
      </c>
    </row>
    <row r="39" spans="1:5" x14ac:dyDescent="0.3">
      <c r="A39" s="164">
        <v>45907</v>
      </c>
      <c r="C39" s="39">
        <f t="shared" si="0"/>
        <v>322070450.79441261</v>
      </c>
      <c r="D39" s="39">
        <f t="shared" si="1"/>
        <v>167319271.43864635</v>
      </c>
      <c r="E39" s="39">
        <f t="shared" si="2"/>
        <v>476821630.15017891</v>
      </c>
    </row>
    <row r="40" spans="1:5" x14ac:dyDescent="0.3">
      <c r="A40" s="164">
        <v>45938</v>
      </c>
      <c r="C40" s="39">
        <f t="shared" si="0"/>
        <v>311059085.40342599</v>
      </c>
      <c r="D40" s="39">
        <f t="shared" si="1"/>
        <v>153321117.56374082</v>
      </c>
      <c r="E40" s="39">
        <f t="shared" si="2"/>
        <v>468797053.24311113</v>
      </c>
    </row>
    <row r="41" spans="1:5" x14ac:dyDescent="0.3">
      <c r="A41" s="164">
        <v>45969</v>
      </c>
      <c r="C41" s="39">
        <f t="shared" si="0"/>
        <v>255815331.01305893</v>
      </c>
      <c r="D41" s="39">
        <f t="shared" si="1"/>
        <v>95175713.890121043</v>
      </c>
      <c r="E41" s="39">
        <f t="shared" si="2"/>
        <v>416454948.13599682</v>
      </c>
    </row>
    <row r="42" spans="1:5" x14ac:dyDescent="0.3">
      <c r="A42" s="164">
        <v>46000</v>
      </c>
      <c r="C42" s="39">
        <f t="shared" si="0"/>
        <v>220382370.03703901</v>
      </c>
      <c r="D42" s="39">
        <f t="shared" si="1"/>
        <v>56821961.613831639</v>
      </c>
      <c r="E42" s="39">
        <f t="shared" si="2"/>
        <v>383942778.46024638</v>
      </c>
    </row>
    <row r="43" spans="1:5" x14ac:dyDescent="0.3">
      <c r="A43" s="164">
        <v>46031</v>
      </c>
      <c r="C43" s="39">
        <f t="shared" si="0"/>
        <v>224018379.57893553</v>
      </c>
      <c r="D43" s="39">
        <f t="shared" si="1"/>
        <v>57635831.840928763</v>
      </c>
      <c r="E43" s="39">
        <f t="shared" si="2"/>
        <v>390400927.31694233</v>
      </c>
    </row>
    <row r="44" spans="1:5" x14ac:dyDescent="0.3">
      <c r="A44" s="164">
        <v>46062</v>
      </c>
      <c r="C44" s="39">
        <f t="shared" si="0"/>
        <v>235929485.2493211</v>
      </c>
      <c r="D44" s="39">
        <f t="shared" si="1"/>
        <v>66673926.551248789</v>
      </c>
      <c r="E44" s="39">
        <f t="shared" si="2"/>
        <v>405185043.94739342</v>
      </c>
    </row>
    <row r="45" spans="1:5" x14ac:dyDescent="0.3">
      <c r="A45" s="164">
        <v>46093</v>
      </c>
      <c r="C45" s="39">
        <f t="shared" si="0"/>
        <v>206372581.58597532</v>
      </c>
      <c r="D45" s="39">
        <f t="shared" si="1"/>
        <v>34155739.408573806</v>
      </c>
      <c r="E45" s="39">
        <f t="shared" si="2"/>
        <v>378589423.76337683</v>
      </c>
    </row>
    <row r="46" spans="1:5" x14ac:dyDescent="0.3">
      <c r="A46" s="164">
        <v>46124</v>
      </c>
      <c r="C46" s="39">
        <f t="shared" si="0"/>
        <v>234341585.88048264</v>
      </c>
      <c r="D46" s="39">
        <f t="shared" si="1"/>
        <v>59347113.487274081</v>
      </c>
      <c r="E46" s="39">
        <f t="shared" si="2"/>
        <v>409336058.27369118</v>
      </c>
    </row>
    <row r="47" spans="1:5" x14ac:dyDescent="0.3">
      <c r="A47" s="164">
        <v>46155</v>
      </c>
      <c r="C47" s="39">
        <f t="shared" si="0"/>
        <v>316384480.44330102</v>
      </c>
      <c r="D47" s="39">
        <f t="shared" si="1"/>
        <v>135774609.4906159</v>
      </c>
      <c r="E47" s="39">
        <f t="shared" si="2"/>
        <v>496994351.39598614</v>
      </c>
    </row>
    <row r="48" spans="1:5" x14ac:dyDescent="0.3">
      <c r="A48" s="164">
        <v>46186</v>
      </c>
      <c r="C48" s="39">
        <f t="shared" si="0"/>
        <v>353697024.81459576</v>
      </c>
      <c r="D48" s="39">
        <f t="shared" si="1"/>
        <v>166053533.83256149</v>
      </c>
      <c r="E48" s="39">
        <f t="shared" si="2"/>
        <v>541340515.79663002</v>
      </c>
    </row>
    <row r="49" spans="1:5" x14ac:dyDescent="0.3">
      <c r="A49" s="164">
        <v>46203</v>
      </c>
      <c r="C49" s="39">
        <f t="shared" si="0"/>
        <v>355173117.26071244</v>
      </c>
      <c r="D49" s="39">
        <f t="shared" si="1"/>
        <v>166067574.78809699</v>
      </c>
      <c r="E49" s="39">
        <f t="shared" si="2"/>
        <v>544278659.73332787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workbookViewId="0">
      <selection activeCell="D4" sqref="D4"/>
    </sheetView>
  </sheetViews>
  <sheetFormatPr defaultRowHeight="14.4" x14ac:dyDescent="0.3"/>
  <cols>
    <col min="1" max="1" width="47.44140625" customWidth="1"/>
    <col min="2" max="2" width="17.77734375" bestFit="1" customWidth="1"/>
    <col min="3" max="6" width="15.44140625" bestFit="1" customWidth="1"/>
    <col min="7" max="7" width="14.44140625" bestFit="1" customWidth="1"/>
    <col min="8" max="8" width="15.44140625" bestFit="1" customWidth="1"/>
    <col min="9" max="11" width="14.44140625" bestFit="1" customWidth="1"/>
    <col min="12" max="13" width="15.44140625" bestFit="1" customWidth="1"/>
    <col min="14" max="14" width="17.21875" customWidth="1"/>
  </cols>
  <sheetData>
    <row r="1" spans="1:14" ht="15" thickBot="1" x14ac:dyDescent="0.35"/>
    <row r="2" spans="1:14" ht="15" thickBot="1" x14ac:dyDescent="0.35">
      <c r="A2" s="294" t="s">
        <v>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6">
        <v>43309</v>
      </c>
      <c r="C3" s="7">
        <v>43313</v>
      </c>
      <c r="D3" s="7">
        <v>43344</v>
      </c>
      <c r="E3" s="7">
        <v>43374</v>
      </c>
      <c r="F3" s="7">
        <v>43405</v>
      </c>
      <c r="G3" s="24">
        <v>43435</v>
      </c>
      <c r="H3" s="24">
        <v>43466</v>
      </c>
      <c r="I3" s="24">
        <v>43497</v>
      </c>
      <c r="J3" s="24">
        <v>43525</v>
      </c>
      <c r="K3" s="24">
        <v>43556</v>
      </c>
      <c r="L3" s="24">
        <v>43586</v>
      </c>
      <c r="M3" s="25">
        <v>43617</v>
      </c>
      <c r="N3" s="26" t="s">
        <v>2</v>
      </c>
    </row>
    <row r="4" spans="1:14" ht="15" thickBot="1" x14ac:dyDescent="0.35">
      <c r="A4" s="2" t="s">
        <v>3</v>
      </c>
      <c r="B4" s="14">
        <v>182624581.33000001</v>
      </c>
      <c r="C4" s="15">
        <v>193438995.62</v>
      </c>
      <c r="D4" s="16">
        <v>108482508.09</v>
      </c>
      <c r="E4" s="17">
        <v>107026121.15000001</v>
      </c>
      <c r="F4" s="18">
        <v>104989531.15000001</v>
      </c>
      <c r="G4" s="10">
        <v>83109754.48601602</v>
      </c>
      <c r="H4" s="10">
        <v>86089483.478693798</v>
      </c>
      <c r="I4" s="10">
        <v>78059244.975819811</v>
      </c>
      <c r="J4" s="10">
        <v>82679655.312019601</v>
      </c>
      <c r="K4" s="10">
        <v>78666500.550640807</v>
      </c>
      <c r="L4" s="10">
        <v>91866117.166367412</v>
      </c>
      <c r="M4" s="10">
        <v>152990489.30268499</v>
      </c>
      <c r="N4" s="27">
        <v>1350022982.6122425</v>
      </c>
    </row>
    <row r="5" spans="1:14" ht="15" thickBot="1" x14ac:dyDescent="0.35">
      <c r="A5" s="3" t="s">
        <v>4</v>
      </c>
      <c r="B5" s="19">
        <v>26313568.623</v>
      </c>
      <c r="C5" s="20">
        <v>25755637.256499998</v>
      </c>
      <c r="D5" s="18">
        <v>14705322.228</v>
      </c>
      <c r="E5" s="20">
        <v>14996043.814999999</v>
      </c>
      <c r="F5" s="20">
        <v>14503581.557500001</v>
      </c>
      <c r="G5" s="28">
        <v>12269539.422470577</v>
      </c>
      <c r="H5" s="28">
        <v>12805964.920347229</v>
      </c>
      <c r="I5" s="28">
        <v>12037021.209225517</v>
      </c>
      <c r="J5" s="28">
        <v>12749590.623904707</v>
      </c>
      <c r="K5" s="28">
        <v>12484529.920137079</v>
      </c>
      <c r="L5" s="28">
        <v>13919729.98116534</v>
      </c>
      <c r="M5" s="29">
        <v>22279563.477679178</v>
      </c>
      <c r="N5" s="27">
        <v>194820093.03492963</v>
      </c>
    </row>
    <row r="6" spans="1:14" ht="15" thickBot="1" x14ac:dyDescent="0.35">
      <c r="A6" s="3" t="s">
        <v>5</v>
      </c>
      <c r="B6" s="19">
        <v>138070.7365</v>
      </c>
      <c r="C6" s="20">
        <v>138070.7365</v>
      </c>
      <c r="D6" s="20">
        <v>133641.27000000002</v>
      </c>
      <c r="E6" s="20">
        <v>138070.7365</v>
      </c>
      <c r="F6" s="20">
        <v>133641.27000000002</v>
      </c>
      <c r="G6" s="28">
        <v>119961.149825</v>
      </c>
      <c r="H6" s="28">
        <v>119961.149825</v>
      </c>
      <c r="I6" s="28">
        <v>108415.695725</v>
      </c>
      <c r="J6" s="28">
        <v>119961.149825</v>
      </c>
      <c r="K6" s="28">
        <v>116112.665125</v>
      </c>
      <c r="L6" s="28">
        <v>119961.149825</v>
      </c>
      <c r="M6" s="29">
        <v>116112.665125</v>
      </c>
      <c r="N6" s="27">
        <v>1501980.3747750001</v>
      </c>
    </row>
    <row r="7" spans="1:14" ht="15" thickBot="1" x14ac:dyDescent="0.35">
      <c r="A7" s="3" t="s">
        <v>6</v>
      </c>
      <c r="B7" s="19">
        <v>1938619.17</v>
      </c>
      <c r="C7" s="20">
        <v>1950983.14</v>
      </c>
      <c r="D7" s="20">
        <v>1173145.75</v>
      </c>
      <c r="E7" s="20">
        <v>1240768.8</v>
      </c>
      <c r="F7" s="20">
        <v>1052576.68</v>
      </c>
      <c r="G7" s="28">
        <v>1117191.5601143797</v>
      </c>
      <c r="H7" s="28">
        <v>1138064.2813751653</v>
      </c>
      <c r="I7" s="28">
        <v>1020682.369371166</v>
      </c>
      <c r="J7" s="28">
        <v>1069695.6014015307</v>
      </c>
      <c r="K7" s="28">
        <v>1023420.1203385625</v>
      </c>
      <c r="L7" s="28">
        <v>1090969.9162935035</v>
      </c>
      <c r="M7" s="29">
        <v>1632947.095573897</v>
      </c>
      <c r="N7" s="30">
        <v>15449064.484468205</v>
      </c>
    </row>
    <row r="8" spans="1:14" ht="15" thickBot="1" x14ac:dyDescent="0.35">
      <c r="A8" s="4" t="s">
        <v>17</v>
      </c>
      <c r="B8" s="21">
        <v>0</v>
      </c>
      <c r="C8" s="22">
        <v>0</v>
      </c>
      <c r="D8" s="22">
        <v>0</v>
      </c>
      <c r="E8" s="22">
        <v>3000000</v>
      </c>
      <c r="F8" s="22">
        <v>3000000</v>
      </c>
      <c r="G8" s="5">
        <v>3000000</v>
      </c>
      <c r="H8" s="5">
        <v>3000000</v>
      </c>
      <c r="I8" s="5">
        <v>3000000</v>
      </c>
      <c r="J8" s="5">
        <v>3000000</v>
      </c>
      <c r="K8" s="5">
        <v>3000000</v>
      </c>
      <c r="L8" s="5">
        <v>3000000</v>
      </c>
      <c r="M8" s="5">
        <v>3000000</v>
      </c>
      <c r="N8" s="23">
        <v>27000000</v>
      </c>
    </row>
    <row r="9" spans="1:14" ht="15" thickBot="1" x14ac:dyDescent="0.35">
      <c r="A9" s="1" t="s">
        <v>7</v>
      </c>
      <c r="B9" s="12">
        <v>211014839.85949999</v>
      </c>
      <c r="C9" s="12">
        <v>221283686.75299999</v>
      </c>
      <c r="D9" s="12">
        <v>124494617.338</v>
      </c>
      <c r="E9" s="12">
        <v>126401004.5015</v>
      </c>
      <c r="F9" s="12">
        <v>123679330.65750001</v>
      </c>
      <c r="G9" s="31">
        <v>99616446.618425995</v>
      </c>
      <c r="H9" s="31">
        <v>103153473.8302412</v>
      </c>
      <c r="I9" s="31">
        <v>94225364.250141487</v>
      </c>
      <c r="J9" s="31">
        <v>99618902.687150851</v>
      </c>
      <c r="K9" s="31">
        <v>95290563.256241441</v>
      </c>
      <c r="L9" s="31">
        <v>109996778.21365125</v>
      </c>
      <c r="M9" s="31">
        <v>180019112.54106307</v>
      </c>
      <c r="N9" s="27">
        <v>1588794120.5064151</v>
      </c>
    </row>
    <row r="10" spans="1:14" x14ac:dyDescent="0.3">
      <c r="B10" s="297" t="s">
        <v>13</v>
      </c>
      <c r="C10" s="297"/>
      <c r="D10" s="297"/>
      <c r="E10" s="297"/>
      <c r="F10" s="297"/>
      <c r="G10" s="298" t="s">
        <v>18</v>
      </c>
      <c r="H10" s="298"/>
      <c r="I10" s="298"/>
      <c r="J10" s="298"/>
      <c r="K10" s="298"/>
      <c r="L10" s="298"/>
      <c r="M10" s="298"/>
      <c r="N10" s="298"/>
    </row>
    <row r="11" spans="1:14" ht="15" thickBot="1" x14ac:dyDescent="0.35">
      <c r="G11" s="32"/>
      <c r="H11" s="32"/>
      <c r="I11" s="32"/>
      <c r="J11" s="32"/>
      <c r="K11" s="32"/>
      <c r="L11" s="32"/>
      <c r="M11" s="32"/>
      <c r="N11" s="32"/>
    </row>
    <row r="12" spans="1:14" ht="15" thickBot="1" x14ac:dyDescent="0.35">
      <c r="A12" s="33" t="s">
        <v>14</v>
      </c>
      <c r="B12" s="34">
        <v>1448531271</v>
      </c>
      <c r="G12" s="32"/>
      <c r="H12" s="32"/>
      <c r="I12" s="32"/>
      <c r="J12" s="32"/>
      <c r="K12" s="32"/>
      <c r="L12" s="32"/>
      <c r="M12" s="32"/>
      <c r="N12" s="32"/>
    </row>
    <row r="13" spans="1:14" ht="15" thickBot="1" x14ac:dyDescent="0.35">
      <c r="A13" s="35" t="s">
        <v>15</v>
      </c>
      <c r="B13" s="36">
        <f>N9</f>
        <v>1588794120.5064151</v>
      </c>
      <c r="G13" s="32"/>
      <c r="H13" s="32"/>
      <c r="I13" s="32"/>
      <c r="J13" s="32"/>
      <c r="K13" s="32"/>
      <c r="L13" s="32"/>
      <c r="M13" s="32"/>
      <c r="N13" s="32"/>
    </row>
    <row r="14" spans="1:14" ht="15" thickBot="1" x14ac:dyDescent="0.35">
      <c r="A14" s="37" t="s">
        <v>16</v>
      </c>
      <c r="B14" s="38">
        <f>B12-B13</f>
        <v>-140262849.50641513</v>
      </c>
      <c r="G14" s="32"/>
      <c r="H14" s="32"/>
      <c r="I14" s="32"/>
      <c r="J14" s="32"/>
      <c r="K14" s="32"/>
      <c r="L14" s="32"/>
      <c r="M14" s="32"/>
      <c r="N14" s="32"/>
    </row>
    <row r="15" spans="1:14" ht="15.6" thickTop="1" thickBot="1" x14ac:dyDescent="0.35"/>
    <row r="16" spans="1:14" ht="15" thickBot="1" x14ac:dyDescent="0.35">
      <c r="A16" s="294" t="s">
        <v>8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</row>
    <row r="17" spans="1:14" ht="15" thickBot="1" x14ac:dyDescent="0.35">
      <c r="A17" s="1" t="s">
        <v>1</v>
      </c>
      <c r="B17" s="6">
        <v>43309</v>
      </c>
      <c r="C17" s="7">
        <v>43313</v>
      </c>
      <c r="D17" s="7">
        <v>43344</v>
      </c>
      <c r="E17" s="7">
        <v>43374</v>
      </c>
      <c r="F17" s="7">
        <v>43405</v>
      </c>
      <c r="G17" s="24">
        <v>43435</v>
      </c>
      <c r="H17" s="24">
        <v>43466</v>
      </c>
      <c r="I17" s="24">
        <v>43497</v>
      </c>
      <c r="J17" s="24">
        <v>43525</v>
      </c>
      <c r="K17" s="24">
        <v>43556</v>
      </c>
      <c r="L17" s="24">
        <v>43586</v>
      </c>
      <c r="M17" s="25">
        <v>43617</v>
      </c>
      <c r="N17" s="26" t="s">
        <v>2</v>
      </c>
    </row>
    <row r="18" spans="1:14" ht="15" thickBot="1" x14ac:dyDescent="0.35">
      <c r="A18" s="2" t="s">
        <v>9</v>
      </c>
      <c r="B18" s="8">
        <v>326386.60600000003</v>
      </c>
      <c r="C18" s="9">
        <v>335610.158</v>
      </c>
      <c r="D18" s="9">
        <v>246164.91750000001</v>
      </c>
      <c r="E18" s="9">
        <v>250128.10500000001</v>
      </c>
      <c r="F18" s="9">
        <v>240395.42499999999</v>
      </c>
      <c r="G18" s="10">
        <v>211098.31184752757</v>
      </c>
      <c r="H18" s="10">
        <v>207928.16754173077</v>
      </c>
      <c r="I18" s="10">
        <v>187167.87497256391</v>
      </c>
      <c r="J18" s="10">
        <v>210785.03627248388</v>
      </c>
      <c r="K18" s="10">
        <v>208175.38715813699</v>
      </c>
      <c r="L18" s="10">
        <v>225818.93909905691</v>
      </c>
      <c r="M18" s="10">
        <v>278910.43386224931</v>
      </c>
      <c r="N18" s="27">
        <v>2928569.3622537493</v>
      </c>
    </row>
    <row r="19" spans="1:14" ht="15" thickBot="1" x14ac:dyDescent="0.35">
      <c r="A19" s="3" t="s">
        <v>10</v>
      </c>
      <c r="B19" s="11">
        <v>1758863.5325</v>
      </c>
      <c r="C19" s="9">
        <v>1728399.5265000002</v>
      </c>
      <c r="D19" s="9">
        <v>1011135.246</v>
      </c>
      <c r="E19" s="9">
        <v>954069.86549999996</v>
      </c>
      <c r="F19" s="9">
        <v>899969.65650000004</v>
      </c>
      <c r="G19" s="10">
        <v>748822.64780255756</v>
      </c>
      <c r="H19" s="10">
        <v>800895.99986217357</v>
      </c>
      <c r="I19" s="10">
        <v>732663.42559359805</v>
      </c>
      <c r="J19" s="10">
        <v>795477.71469729673</v>
      </c>
      <c r="K19" s="10">
        <v>814999.73229855194</v>
      </c>
      <c r="L19" s="10">
        <v>977130.28422821511</v>
      </c>
      <c r="M19" s="10">
        <v>1509251.5197651917</v>
      </c>
      <c r="N19" s="27">
        <v>12731679.151247583</v>
      </c>
    </row>
    <row r="20" spans="1:14" ht="15" thickBot="1" x14ac:dyDescent="0.35">
      <c r="A20" s="3" t="s">
        <v>11</v>
      </c>
      <c r="B20" s="11">
        <v>652557.15</v>
      </c>
      <c r="C20" s="9">
        <v>625688.64199999999</v>
      </c>
      <c r="D20" s="9">
        <v>337416.348</v>
      </c>
      <c r="E20" s="9">
        <v>328737.413</v>
      </c>
      <c r="F20" s="9">
        <v>320535.71650000004</v>
      </c>
      <c r="G20" s="10">
        <v>266632.18339425279</v>
      </c>
      <c r="H20" s="10">
        <v>275738.39459968777</v>
      </c>
      <c r="I20" s="10">
        <v>269662.18358880398</v>
      </c>
      <c r="J20" s="10">
        <v>294293.56461063016</v>
      </c>
      <c r="K20" s="10">
        <v>296183.08929011034</v>
      </c>
      <c r="L20" s="10">
        <v>341130.84873541858</v>
      </c>
      <c r="M20" s="10">
        <v>550399.47902774764</v>
      </c>
      <c r="N20" s="27">
        <v>4558975.0127466517</v>
      </c>
    </row>
    <row r="21" spans="1:14" ht="15" thickBot="1" x14ac:dyDescent="0.35">
      <c r="A21" s="3" t="s">
        <v>12</v>
      </c>
      <c r="B21" s="11">
        <v>152446.03</v>
      </c>
      <c r="C21" s="9">
        <v>149226.65</v>
      </c>
      <c r="D21" s="9">
        <v>84126.27</v>
      </c>
      <c r="E21" s="9">
        <v>78339.83</v>
      </c>
      <c r="F21" s="9">
        <v>85998.104000000007</v>
      </c>
      <c r="G21" s="10">
        <v>86074.247497189892</v>
      </c>
      <c r="H21" s="10">
        <v>89228.297062521699</v>
      </c>
      <c r="I21" s="10">
        <v>79667.946267180203</v>
      </c>
      <c r="J21" s="10">
        <v>86766.297697259099</v>
      </c>
      <c r="K21" s="10">
        <v>81941.680393415299</v>
      </c>
      <c r="L21" s="10">
        <v>88834.896727657499</v>
      </c>
      <c r="M21" s="10">
        <v>132155.03366557031</v>
      </c>
      <c r="N21" s="27">
        <v>1194805.2833107938</v>
      </c>
    </row>
    <row r="22" spans="1:14" ht="15" thickBot="1" x14ac:dyDescent="0.35">
      <c r="A22" s="1" t="s">
        <v>7</v>
      </c>
      <c r="B22" s="13">
        <v>2890253.3184999996</v>
      </c>
      <c r="C22" s="13">
        <v>2838924.9765000003</v>
      </c>
      <c r="D22" s="13">
        <v>1678842.7815</v>
      </c>
      <c r="E22" s="13">
        <v>1611275.2135000001</v>
      </c>
      <c r="F22" s="13">
        <v>1546898.902</v>
      </c>
      <c r="G22" s="31">
        <v>1312627.3905415277</v>
      </c>
      <c r="H22" s="31">
        <v>1373790.8590661138</v>
      </c>
      <c r="I22" s="31">
        <v>1269161.4304221461</v>
      </c>
      <c r="J22" s="31">
        <v>1387322.61327767</v>
      </c>
      <c r="K22" s="31">
        <v>1401299.8891402145</v>
      </c>
      <c r="L22" s="31">
        <v>1632914.9687903482</v>
      </c>
      <c r="M22" s="31">
        <v>2470716.4663207592</v>
      </c>
      <c r="N22" s="27">
        <v>21414028.809558783</v>
      </c>
    </row>
    <row r="23" spans="1:14" x14ac:dyDescent="0.3">
      <c r="B23" s="297" t="s">
        <v>13</v>
      </c>
      <c r="C23" s="297"/>
      <c r="D23" s="297"/>
      <c r="E23" s="297"/>
      <c r="F23" s="297"/>
      <c r="G23" s="298" t="s">
        <v>18</v>
      </c>
      <c r="H23" s="298"/>
      <c r="I23" s="298"/>
      <c r="J23" s="298"/>
      <c r="K23" s="298"/>
      <c r="L23" s="298"/>
      <c r="M23" s="298"/>
      <c r="N23" s="298"/>
    </row>
    <row r="24" spans="1:14" ht="15" thickBot="1" x14ac:dyDescent="0.35"/>
    <row r="25" spans="1:14" ht="15" thickBot="1" x14ac:dyDescent="0.35">
      <c r="A25" s="33" t="s">
        <v>14</v>
      </c>
      <c r="B25" s="34">
        <v>20519988</v>
      </c>
    </row>
    <row r="26" spans="1:14" ht="15" thickBot="1" x14ac:dyDescent="0.35">
      <c r="A26" s="35" t="s">
        <v>15</v>
      </c>
      <c r="B26" s="36">
        <f>N22</f>
        <v>21414028.809558783</v>
      </c>
    </row>
    <row r="27" spans="1:14" ht="15" thickBot="1" x14ac:dyDescent="0.35">
      <c r="A27" s="37" t="s">
        <v>16</v>
      </c>
      <c r="B27" s="38">
        <f>B25-B26</f>
        <v>-894040.80955878273</v>
      </c>
    </row>
    <row r="28" spans="1:14" ht="15" thickTop="1" x14ac:dyDescent="0.3"/>
    <row r="29" spans="1:14" ht="15" thickBot="1" x14ac:dyDescent="0.35"/>
    <row r="30" spans="1:14" ht="15" thickBot="1" x14ac:dyDescent="0.35">
      <c r="A30" s="35" t="s">
        <v>21</v>
      </c>
      <c r="B30" s="36">
        <f>B14+B27</f>
        <v>-141156890.31597391</v>
      </c>
    </row>
  </sheetData>
  <mergeCells count="6">
    <mergeCell ref="A16:N16"/>
    <mergeCell ref="A2:N2"/>
    <mergeCell ref="B10:F10"/>
    <mergeCell ref="G10:N10"/>
    <mergeCell ref="B23:F23"/>
    <mergeCell ref="G23:N2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6341-B41D-4DA3-9796-F42D518397D8}">
  <dimension ref="A1:G36"/>
  <sheetViews>
    <sheetView topLeftCell="A22" workbookViewId="0">
      <selection activeCell="I31" sqref="I31"/>
    </sheetView>
  </sheetViews>
  <sheetFormatPr defaultRowHeight="14.4" x14ac:dyDescent="0.3"/>
  <cols>
    <col min="1" max="1" width="12.5546875" bestFit="1" customWidth="1"/>
    <col min="2" max="3" width="14.77734375" bestFit="1" customWidth="1"/>
    <col min="4" max="4" width="23.5546875" customWidth="1"/>
    <col min="5" max="5" width="23.77734375" customWidth="1"/>
    <col min="7" max="7" width="12.21875" bestFit="1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208343291.19999999</v>
      </c>
    </row>
    <row r="3" spans="1:5" x14ac:dyDescent="0.3">
      <c r="A3" s="164">
        <v>44805</v>
      </c>
      <c r="B3" s="39">
        <v>120023709.54000001</v>
      </c>
    </row>
    <row r="4" spans="1:5" x14ac:dyDescent="0.3">
      <c r="A4" s="164">
        <v>44835</v>
      </c>
      <c r="B4" s="39">
        <v>120111620.78</v>
      </c>
    </row>
    <row r="5" spans="1:5" x14ac:dyDescent="0.3">
      <c r="A5" s="164">
        <v>44866</v>
      </c>
      <c r="B5" s="39">
        <v>118568754.98999999</v>
      </c>
    </row>
    <row r="6" spans="1:5" x14ac:dyDescent="0.3">
      <c r="A6" s="164">
        <v>44896</v>
      </c>
      <c r="B6" s="39">
        <v>109712490.7</v>
      </c>
    </row>
    <row r="7" spans="1:5" x14ac:dyDescent="0.3">
      <c r="A7" s="164">
        <v>44927</v>
      </c>
      <c r="B7" s="39">
        <v>119865906.34</v>
      </c>
    </row>
    <row r="8" spans="1:5" x14ac:dyDescent="0.3">
      <c r="A8" s="164">
        <v>44958</v>
      </c>
      <c r="B8" s="39">
        <v>112238319.48</v>
      </c>
    </row>
    <row r="9" spans="1:5" x14ac:dyDescent="0.3">
      <c r="A9" s="164">
        <v>44986</v>
      </c>
      <c r="B9" s="39">
        <v>122813349.93000001</v>
      </c>
    </row>
    <row r="10" spans="1:5" x14ac:dyDescent="0.3">
      <c r="A10" s="164">
        <v>45017</v>
      </c>
      <c r="B10" s="39">
        <v>117572062.88</v>
      </c>
    </row>
    <row r="11" spans="1:5" x14ac:dyDescent="0.3">
      <c r="A11" s="164">
        <v>45047</v>
      </c>
      <c r="B11" s="39">
        <v>274666188.64999998</v>
      </c>
    </row>
    <row r="12" spans="1:5" x14ac:dyDescent="0.3">
      <c r="A12" s="164">
        <v>45078</v>
      </c>
      <c r="B12" s="39">
        <v>260567700.24000001</v>
      </c>
    </row>
    <row r="13" spans="1:5" x14ac:dyDescent="0.3">
      <c r="A13" s="164">
        <v>45108</v>
      </c>
      <c r="B13" s="39">
        <v>277013750.64999998</v>
      </c>
    </row>
    <row r="14" spans="1:5" x14ac:dyDescent="0.3">
      <c r="A14" s="164">
        <v>45139</v>
      </c>
      <c r="B14" s="39">
        <v>263433752.09</v>
      </c>
    </row>
    <row r="15" spans="1:5" x14ac:dyDescent="0.3">
      <c r="A15" s="164">
        <v>45170</v>
      </c>
      <c r="B15" s="39">
        <v>169733900.40000001</v>
      </c>
    </row>
    <row r="16" spans="1:5" x14ac:dyDescent="0.3">
      <c r="A16" s="164">
        <v>45200</v>
      </c>
      <c r="B16" s="39">
        <v>145463723.53999999</v>
      </c>
    </row>
    <row r="17" spans="1:7" x14ac:dyDescent="0.3">
      <c r="A17" s="164">
        <v>45231</v>
      </c>
      <c r="B17" s="39">
        <v>145818937.69</v>
      </c>
    </row>
    <row r="18" spans="1:7" x14ac:dyDescent="0.3">
      <c r="A18" s="164">
        <v>45261</v>
      </c>
      <c r="B18" s="39">
        <v>134855203.44</v>
      </c>
    </row>
    <row r="19" spans="1:7" x14ac:dyDescent="0.3">
      <c r="A19" s="164">
        <v>45292</v>
      </c>
      <c r="B19" s="39">
        <v>136886068.88</v>
      </c>
    </row>
    <row r="20" spans="1:7" x14ac:dyDescent="0.3">
      <c r="A20" s="164">
        <v>45323</v>
      </c>
      <c r="B20" s="39">
        <v>148929316.33000001</v>
      </c>
    </row>
    <row r="21" spans="1:7" x14ac:dyDescent="0.3">
      <c r="A21" s="164">
        <v>45352</v>
      </c>
      <c r="B21" s="39">
        <v>142234975.59</v>
      </c>
    </row>
    <row r="22" spans="1:7" x14ac:dyDescent="0.3">
      <c r="A22" s="164">
        <v>45383</v>
      </c>
      <c r="B22" s="39">
        <v>147726850.22</v>
      </c>
    </row>
    <row r="23" spans="1:7" x14ac:dyDescent="0.3">
      <c r="A23" s="164">
        <v>45413</v>
      </c>
      <c r="B23" s="39">
        <v>146700542.5</v>
      </c>
    </row>
    <row r="24" spans="1:7" x14ac:dyDescent="0.3">
      <c r="A24" s="164">
        <v>45444</v>
      </c>
      <c r="B24" s="39">
        <v>261527970.63999999</v>
      </c>
    </row>
    <row r="25" spans="1:7" x14ac:dyDescent="0.3">
      <c r="A25" s="164">
        <v>45474</v>
      </c>
      <c r="B25" s="39">
        <v>308892054.16000003</v>
      </c>
    </row>
    <row r="26" spans="1:7" x14ac:dyDescent="0.3">
      <c r="A26" s="164">
        <v>45505</v>
      </c>
      <c r="B26" s="39">
        <v>296927274.94999999</v>
      </c>
    </row>
    <row r="27" spans="1:7" x14ac:dyDescent="0.3">
      <c r="A27" s="164">
        <v>45536</v>
      </c>
      <c r="B27" s="39">
        <v>187906578.78</v>
      </c>
    </row>
    <row r="28" spans="1:7" x14ac:dyDescent="0.3">
      <c r="A28" s="164">
        <v>45566</v>
      </c>
      <c r="B28" s="39">
        <v>158400595.19</v>
      </c>
    </row>
    <row r="29" spans="1:7" x14ac:dyDescent="0.3">
      <c r="A29" s="164">
        <v>45597</v>
      </c>
      <c r="B29" s="39">
        <v>162592307.16</v>
      </c>
      <c r="C29" s="39">
        <v>162592307.16</v>
      </c>
      <c r="D29" s="39">
        <v>162592307.16</v>
      </c>
      <c r="E29" s="39">
        <v>162592307.16</v>
      </c>
    </row>
    <row r="30" spans="1:7" x14ac:dyDescent="0.3">
      <c r="A30" s="164">
        <v>45628</v>
      </c>
      <c r="B30" s="39">
        <f>267748457.540653*70%</f>
        <v>187423920.27845708</v>
      </c>
      <c r="C30" s="39">
        <f t="shared" ref="C30:C36" si="0">_xlfn.FORECAST.ETS(A30,$B$2:$B$29,$A$2:$A$29,1,1)</f>
        <v>165330432.43956172</v>
      </c>
      <c r="D30" s="39">
        <f t="shared" ref="D30:D36" si="1">C30-_xlfn.FORECAST.ETS.CONFINT(A30,$B$2:$B$29,$A$2:$A$29,0.95,1,1)</f>
        <v>62912407.338470891</v>
      </c>
      <c r="E30" s="39">
        <f t="shared" ref="E30:E36" si="2">C30+_xlfn.FORECAST.ETS.CONFINT(A30,$B$2:$B$29,$A$2:$A$29,0.95,1,1)</f>
        <v>267748457.54065257</v>
      </c>
      <c r="G30" s="201">
        <v>187423920.27845708</v>
      </c>
    </row>
    <row r="31" spans="1:7" x14ac:dyDescent="0.3">
      <c r="A31" s="164">
        <v>45659</v>
      </c>
      <c r="B31" s="39">
        <f>304806770.447015*70%</f>
        <v>213364739.31291047</v>
      </c>
      <c r="C31" s="39">
        <f t="shared" si="0"/>
        <v>167737109.68218717</v>
      </c>
      <c r="D31" s="39">
        <f t="shared" si="1"/>
        <v>30667448.917359233</v>
      </c>
      <c r="E31" s="39">
        <f t="shared" si="2"/>
        <v>304806770.44701511</v>
      </c>
      <c r="G31" s="201">
        <v>213364739.31291047</v>
      </c>
    </row>
    <row r="32" spans="1:7" x14ac:dyDescent="0.3">
      <c r="A32" s="164">
        <v>45690</v>
      </c>
      <c r="B32" s="39">
        <f>334876024.877777*70%</f>
        <v>234413217.41444388</v>
      </c>
      <c r="C32" s="39">
        <f t="shared" si="0"/>
        <v>170152104.9337157</v>
      </c>
      <c r="D32" s="39">
        <f t="shared" si="1"/>
        <v>5428184.9896545112</v>
      </c>
      <c r="E32" s="39">
        <f t="shared" si="2"/>
        <v>334876024.87777686</v>
      </c>
      <c r="G32" s="201">
        <v>234413217.41444388</v>
      </c>
    </row>
    <row r="33" spans="1:7" x14ac:dyDescent="0.3">
      <c r="A33" s="164">
        <v>45721</v>
      </c>
      <c r="B33" s="39">
        <f>363175272.57712*70%</f>
        <v>254222690.80398399</v>
      </c>
      <c r="C33" s="39">
        <f t="shared" si="0"/>
        <v>172783368.41672441</v>
      </c>
      <c r="D33" s="39">
        <f t="shared" si="1"/>
        <v>-17608535.743671119</v>
      </c>
      <c r="E33" s="39">
        <f t="shared" si="2"/>
        <v>363175272.57711995</v>
      </c>
      <c r="G33" s="201">
        <v>254222690.80398399</v>
      </c>
    </row>
    <row r="34" spans="1:7" x14ac:dyDescent="0.3">
      <c r="A34" s="164">
        <v>45752</v>
      </c>
      <c r="B34" s="39">
        <f>386484252.646369*70%</f>
        <v>270538976.8524583</v>
      </c>
      <c r="C34" s="39">
        <f t="shared" si="0"/>
        <v>175200396.95931813</v>
      </c>
      <c r="D34" s="39">
        <f t="shared" si="1"/>
        <v>-36083458.727733135</v>
      </c>
      <c r="E34" s="39">
        <f t="shared" si="2"/>
        <v>386484252.6463694</v>
      </c>
      <c r="G34" s="201">
        <v>270538976.8524583</v>
      </c>
    </row>
    <row r="35" spans="1:7" x14ac:dyDescent="0.3">
      <c r="A35" s="164">
        <v>45783</v>
      </c>
      <c r="B35" s="39">
        <f>408433526.06318*70%</f>
        <v>285903468.24422598</v>
      </c>
      <c r="C35" s="39">
        <f t="shared" si="0"/>
        <v>177674357.65173742</v>
      </c>
      <c r="D35" s="39">
        <f t="shared" si="1"/>
        <v>-53084810.759705395</v>
      </c>
      <c r="E35" s="39">
        <f t="shared" si="2"/>
        <v>408433526.06318021</v>
      </c>
      <c r="G35" s="201">
        <v>285903468.24422598</v>
      </c>
    </row>
    <row r="36" spans="1:7" x14ac:dyDescent="0.3">
      <c r="A36" s="164">
        <v>45814</v>
      </c>
      <c r="B36" s="39">
        <f>428465452.660266*90%</f>
        <v>385618907.39423937</v>
      </c>
      <c r="C36" s="39">
        <f t="shared" si="0"/>
        <v>180093974.01932323</v>
      </c>
      <c r="D36" s="39">
        <f t="shared" si="1"/>
        <v>-68277504.621619463</v>
      </c>
      <c r="E36" s="39">
        <f t="shared" si="2"/>
        <v>428465452.66026592</v>
      </c>
      <c r="G36" s="201">
        <v>385618907.39423937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0886-68EF-424E-9890-A54F53F54A71}">
  <dimension ref="A1:E36"/>
  <sheetViews>
    <sheetView topLeftCell="A10" workbookViewId="0">
      <selection activeCell="B30" sqref="B30:B36"/>
    </sheetView>
  </sheetViews>
  <sheetFormatPr defaultRowHeight="14.4" x14ac:dyDescent="0.3"/>
  <cols>
    <col min="1" max="1" width="12.5546875" bestFit="1" customWidth="1"/>
    <col min="2" max="2" width="16.21875" bestFit="1" customWidth="1"/>
    <col min="3" max="3" width="13.777343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27509815.395</v>
      </c>
    </row>
    <row r="3" spans="1:5" x14ac:dyDescent="0.3">
      <c r="A3" s="164">
        <v>44805</v>
      </c>
      <c r="B3" s="39">
        <v>17411055.780000001</v>
      </c>
    </row>
    <row r="4" spans="1:5" x14ac:dyDescent="0.3">
      <c r="A4" s="164">
        <v>44835</v>
      </c>
      <c r="B4" s="39">
        <v>17618615.640000001</v>
      </c>
    </row>
    <row r="5" spans="1:5" x14ac:dyDescent="0.3">
      <c r="A5" s="164">
        <v>44866</v>
      </c>
      <c r="B5" s="39">
        <v>17173310.559999999</v>
      </c>
    </row>
    <row r="6" spans="1:5" x14ac:dyDescent="0.3">
      <c r="A6" s="164">
        <v>44896</v>
      </c>
      <c r="B6" s="39">
        <v>16610246.67</v>
      </c>
    </row>
    <row r="7" spans="1:5" x14ac:dyDescent="0.3">
      <c r="A7" s="164">
        <v>44927</v>
      </c>
      <c r="B7" s="39">
        <v>17282716.800000001</v>
      </c>
    </row>
    <row r="8" spans="1:5" x14ac:dyDescent="0.3">
      <c r="A8" s="164">
        <v>44958</v>
      </c>
      <c r="B8" s="39">
        <v>16263853.439999999</v>
      </c>
    </row>
    <row r="9" spans="1:5" x14ac:dyDescent="0.3">
      <c r="A9" s="164">
        <v>44986</v>
      </c>
      <c r="B9" s="39">
        <v>18027266.600000001</v>
      </c>
    </row>
    <row r="10" spans="1:5" x14ac:dyDescent="0.3">
      <c r="A10" s="164">
        <v>45017</v>
      </c>
      <c r="B10" s="39">
        <v>16855917.859999999</v>
      </c>
    </row>
    <row r="11" spans="1:5" x14ac:dyDescent="0.3">
      <c r="A11" s="164">
        <v>45047</v>
      </c>
      <c r="B11" s="39">
        <v>24561691.23</v>
      </c>
    </row>
    <row r="12" spans="1:5" x14ac:dyDescent="0.3">
      <c r="A12" s="164">
        <v>45078</v>
      </c>
      <c r="B12" s="39">
        <v>30970724.600000001</v>
      </c>
    </row>
    <row r="13" spans="1:5" x14ac:dyDescent="0.3">
      <c r="A13" s="164">
        <v>45108</v>
      </c>
      <c r="B13" s="39">
        <v>34510758.18</v>
      </c>
    </row>
    <row r="14" spans="1:5" x14ac:dyDescent="0.3">
      <c r="A14" s="164">
        <v>45139</v>
      </c>
      <c r="B14" s="39">
        <v>36859941.710000001</v>
      </c>
    </row>
    <row r="15" spans="1:5" x14ac:dyDescent="0.3">
      <c r="A15" s="164">
        <v>45170</v>
      </c>
      <c r="B15" s="39">
        <v>30015297.140000001</v>
      </c>
    </row>
    <row r="16" spans="1:5" x14ac:dyDescent="0.3">
      <c r="A16" s="164">
        <v>45200</v>
      </c>
      <c r="B16" s="39">
        <v>20935898.120000001</v>
      </c>
    </row>
    <row r="17" spans="1:5" x14ac:dyDescent="0.3">
      <c r="A17" s="164">
        <v>45231</v>
      </c>
      <c r="B17" s="39">
        <v>21463368.100000001</v>
      </c>
    </row>
    <row r="18" spans="1:5" x14ac:dyDescent="0.3">
      <c r="A18" s="164">
        <v>45261</v>
      </c>
      <c r="B18" s="39">
        <v>20804855.030000001</v>
      </c>
    </row>
    <row r="19" spans="1:5" x14ac:dyDescent="0.3">
      <c r="A19" s="164">
        <v>45292</v>
      </c>
      <c r="B19" s="39">
        <v>19649773.460000001</v>
      </c>
    </row>
    <row r="20" spans="1:5" x14ac:dyDescent="0.3">
      <c r="A20" s="164">
        <v>45323</v>
      </c>
      <c r="B20" s="39">
        <v>21436355.960000001</v>
      </c>
    </row>
    <row r="21" spans="1:5" x14ac:dyDescent="0.3">
      <c r="A21" s="164">
        <v>45352</v>
      </c>
      <c r="B21" s="39">
        <v>20560323.129999999</v>
      </c>
    </row>
    <row r="22" spans="1:5" x14ac:dyDescent="0.3">
      <c r="A22" s="164">
        <v>45383</v>
      </c>
      <c r="B22" s="39">
        <v>20990117.309999999</v>
      </c>
    </row>
    <row r="23" spans="1:5" x14ac:dyDescent="0.3">
      <c r="A23" s="164">
        <v>45413</v>
      </c>
      <c r="B23" s="39">
        <v>21185443.989999998</v>
      </c>
    </row>
    <row r="24" spans="1:5" x14ac:dyDescent="0.3">
      <c r="A24" s="164">
        <v>45444</v>
      </c>
      <c r="B24" s="39">
        <v>30453567.859999999</v>
      </c>
    </row>
    <row r="25" spans="1:5" x14ac:dyDescent="0.3">
      <c r="A25" s="164">
        <v>45474</v>
      </c>
      <c r="B25" s="39">
        <v>36471456.740000002</v>
      </c>
    </row>
    <row r="26" spans="1:5" x14ac:dyDescent="0.3">
      <c r="A26" s="164">
        <v>45505</v>
      </c>
      <c r="B26" s="39">
        <v>42635932.229999997</v>
      </c>
    </row>
    <row r="27" spans="1:5" x14ac:dyDescent="0.3">
      <c r="A27" s="164">
        <v>45536</v>
      </c>
      <c r="B27" s="39">
        <v>32930432.5</v>
      </c>
    </row>
    <row r="28" spans="1:5" x14ac:dyDescent="0.3">
      <c r="A28" s="164">
        <v>45566</v>
      </c>
      <c r="B28" s="39">
        <v>23911952.460000001</v>
      </c>
    </row>
    <row r="29" spans="1:5" x14ac:dyDescent="0.3">
      <c r="A29" s="164">
        <v>45597</v>
      </c>
      <c r="B29" s="39">
        <v>24177668.98</v>
      </c>
      <c r="C29" s="39">
        <v>24177668.98</v>
      </c>
      <c r="D29" s="39">
        <v>24177668.98</v>
      </c>
      <c r="E29" s="39">
        <v>24177668.98</v>
      </c>
    </row>
    <row r="30" spans="1:5" x14ac:dyDescent="0.3">
      <c r="A30" s="164">
        <v>45628</v>
      </c>
      <c r="B30" s="39">
        <f>24696797.0653927*100%</f>
        <v>24696797.065392699</v>
      </c>
      <c r="C30" s="39">
        <f t="shared" ref="C30:C36" si="0">_xlfn.FORECAST.ETS(A30,$B$2:$B$29,$A$2:$A$29,1,1)</f>
        <v>24696797.065392666</v>
      </c>
      <c r="D30" s="39">
        <f t="shared" ref="D30:D36" si="1">C30-_xlfn.FORECAST.ETS.CONFINT(A30,$B$2:$B$29,$A$2:$A$29,0.95,1,1)</f>
        <v>14370771.44514058</v>
      </c>
      <c r="E30" s="39">
        <f t="shared" ref="E30:E36" si="2">C30+_xlfn.FORECAST.ETS.CONFINT(A30,$B$2:$B$29,$A$2:$A$29,0.95,1,1)</f>
        <v>35022822.685644753</v>
      </c>
    </row>
    <row r="31" spans="1:5" x14ac:dyDescent="0.3">
      <c r="A31" s="164">
        <v>45659</v>
      </c>
      <c r="B31" s="39">
        <f>25087083.3024967*105%</f>
        <v>26341437.467621539</v>
      </c>
      <c r="C31" s="39">
        <f t="shared" si="0"/>
        <v>25087083.302496731</v>
      </c>
      <c r="D31" s="39">
        <f t="shared" si="1"/>
        <v>11267398.462647185</v>
      </c>
      <c r="E31" s="39">
        <f t="shared" si="2"/>
        <v>38906768.142346278</v>
      </c>
    </row>
    <row r="32" spans="1:5" x14ac:dyDescent="0.3">
      <c r="A32" s="164">
        <v>45690</v>
      </c>
      <c r="B32" s="39">
        <f>110%*25478718.4551668</f>
        <v>28026590.300683483</v>
      </c>
      <c r="C32" s="39">
        <f t="shared" si="0"/>
        <v>25478718.455166824</v>
      </c>
      <c r="D32" s="39">
        <f t="shared" si="1"/>
        <v>8870866.3126184009</v>
      </c>
      <c r="E32" s="39">
        <f t="shared" si="2"/>
        <v>42086570.597715244</v>
      </c>
    </row>
    <row r="33" spans="1:5" x14ac:dyDescent="0.3">
      <c r="A33" s="164">
        <v>45721</v>
      </c>
      <c r="B33" s="39">
        <f>115%*25905425.4125536</f>
        <v>29791239.224436637</v>
      </c>
      <c r="C33" s="39">
        <f t="shared" si="0"/>
        <v>25905425.412553642</v>
      </c>
      <c r="D33" s="39">
        <f t="shared" si="1"/>
        <v>6709666.8699698634</v>
      </c>
      <c r="E33" s="39">
        <f t="shared" si="2"/>
        <v>45101183.955137417</v>
      </c>
    </row>
    <row r="34" spans="1:5" x14ac:dyDescent="0.3">
      <c r="A34" s="164">
        <v>45752</v>
      </c>
      <c r="B34" s="39">
        <f>120%*26297390.3001399</f>
        <v>31556868.36016788</v>
      </c>
      <c r="C34" s="39">
        <f t="shared" si="0"/>
        <v>26297390.300139874</v>
      </c>
      <c r="D34" s="39">
        <f t="shared" si="1"/>
        <v>4995256.1805189848</v>
      </c>
      <c r="E34" s="39">
        <f t="shared" si="2"/>
        <v>47599524.419760764</v>
      </c>
    </row>
    <row r="35" spans="1:5" x14ac:dyDescent="0.3">
      <c r="A35" s="164">
        <v>45783</v>
      </c>
      <c r="B35" s="39">
        <f>125%*26698587.765378</f>
        <v>33373234.706722498</v>
      </c>
      <c r="C35" s="39">
        <f t="shared" si="0"/>
        <v>26698587.765378032</v>
      </c>
      <c r="D35" s="39">
        <f t="shared" si="1"/>
        <v>3432906.9169856012</v>
      </c>
      <c r="E35" s="39">
        <f t="shared" si="2"/>
        <v>49964268.613770463</v>
      </c>
    </row>
    <row r="36" spans="1:5" x14ac:dyDescent="0.3">
      <c r="A36" s="164">
        <v>45814</v>
      </c>
      <c r="B36" s="39">
        <f>130%*27090972.3155848</f>
        <v>35218264.010260239</v>
      </c>
      <c r="C36" s="39">
        <f t="shared" si="0"/>
        <v>27090972.315584809</v>
      </c>
      <c r="D36" s="39">
        <f t="shared" si="1"/>
        <v>2049577.0215942003</v>
      </c>
      <c r="E36" s="39">
        <f t="shared" si="2"/>
        <v>52132367.609575421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B07C-7411-413E-9F14-88650F8051BD}">
  <dimension ref="A1:E36"/>
  <sheetViews>
    <sheetView topLeftCell="A22" workbookViewId="0">
      <selection activeCell="B30" sqref="B30:B36"/>
    </sheetView>
  </sheetViews>
  <sheetFormatPr defaultRowHeight="14.4" x14ac:dyDescent="0.3"/>
  <cols>
    <col min="1" max="1" width="12.5546875" bestFit="1" customWidth="1"/>
    <col min="2" max="3" width="12.777343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2058069.14</v>
      </c>
    </row>
    <row r="3" spans="1:5" x14ac:dyDescent="0.3">
      <c r="A3" s="164">
        <v>44805</v>
      </c>
      <c r="B3" s="39">
        <v>1181240.83</v>
      </c>
    </row>
    <row r="4" spans="1:5" x14ac:dyDescent="0.3">
      <c r="A4" s="164">
        <v>44835</v>
      </c>
      <c r="B4" s="39">
        <v>1139273.93</v>
      </c>
    </row>
    <row r="5" spans="1:5" x14ac:dyDescent="0.3">
      <c r="A5" s="164">
        <v>44866</v>
      </c>
      <c r="B5" s="39">
        <v>1067844.3899999999</v>
      </c>
    </row>
    <row r="6" spans="1:5" x14ac:dyDescent="0.3">
      <c r="A6" s="164">
        <v>44896</v>
      </c>
      <c r="B6" s="39">
        <v>1099126.3899999999</v>
      </c>
    </row>
    <row r="7" spans="1:5" x14ac:dyDescent="0.3">
      <c r="A7" s="164">
        <v>44927</v>
      </c>
      <c r="B7" s="39">
        <v>1087559.46</v>
      </c>
    </row>
    <row r="8" spans="1:5" x14ac:dyDescent="0.3">
      <c r="A8" s="164">
        <v>44958</v>
      </c>
      <c r="B8" s="39">
        <v>1018157.39</v>
      </c>
    </row>
    <row r="9" spans="1:5" x14ac:dyDescent="0.3">
      <c r="A9" s="164">
        <v>44986</v>
      </c>
      <c r="B9" s="39">
        <v>1145003.44</v>
      </c>
    </row>
    <row r="10" spans="1:5" x14ac:dyDescent="0.3">
      <c r="A10" s="164">
        <v>45017</v>
      </c>
      <c r="B10" s="39">
        <v>1211714.75</v>
      </c>
    </row>
    <row r="11" spans="1:5" x14ac:dyDescent="0.3">
      <c r="A11" s="164">
        <v>45047</v>
      </c>
      <c r="B11" s="39">
        <v>1801431.71</v>
      </c>
    </row>
    <row r="12" spans="1:5" x14ac:dyDescent="0.3">
      <c r="A12" s="164">
        <v>45078</v>
      </c>
      <c r="B12" s="39">
        <v>1871990.03</v>
      </c>
    </row>
    <row r="13" spans="1:5" x14ac:dyDescent="0.3">
      <c r="A13" s="164">
        <v>45108</v>
      </c>
      <c r="B13" s="39">
        <v>2045818.2</v>
      </c>
    </row>
    <row r="14" spans="1:5" x14ac:dyDescent="0.3">
      <c r="A14" s="164">
        <v>45139</v>
      </c>
      <c r="B14" s="39">
        <v>2315972.88</v>
      </c>
    </row>
    <row r="15" spans="1:5" x14ac:dyDescent="0.3">
      <c r="A15" s="164">
        <v>45170</v>
      </c>
      <c r="B15" s="39">
        <v>1822834.98</v>
      </c>
    </row>
    <row r="16" spans="1:5" x14ac:dyDescent="0.3">
      <c r="A16" s="164">
        <v>45200</v>
      </c>
      <c r="B16" s="39">
        <v>1252527.55</v>
      </c>
    </row>
    <row r="17" spans="1:5" x14ac:dyDescent="0.3">
      <c r="A17" s="164">
        <v>45231</v>
      </c>
      <c r="B17" s="39">
        <v>1241748.8500000001</v>
      </c>
    </row>
    <row r="18" spans="1:5" x14ac:dyDescent="0.3">
      <c r="A18" s="164">
        <v>45261</v>
      </c>
      <c r="B18" s="39">
        <v>1123553.17</v>
      </c>
    </row>
    <row r="19" spans="1:5" x14ac:dyDescent="0.3">
      <c r="A19" s="164">
        <v>45292</v>
      </c>
      <c r="B19" s="39">
        <v>1181231.69</v>
      </c>
    </row>
    <row r="20" spans="1:5" x14ac:dyDescent="0.3">
      <c r="A20" s="164">
        <v>45323</v>
      </c>
      <c r="B20" s="39">
        <v>1268508.8</v>
      </c>
    </row>
    <row r="21" spans="1:5" x14ac:dyDescent="0.3">
      <c r="A21" s="164">
        <v>45352</v>
      </c>
      <c r="B21" s="39">
        <v>1242066.78</v>
      </c>
    </row>
    <row r="22" spans="1:5" x14ac:dyDescent="0.3">
      <c r="A22" s="164">
        <v>45383</v>
      </c>
      <c r="B22" s="39">
        <v>1342815.23</v>
      </c>
    </row>
    <row r="23" spans="1:5" x14ac:dyDescent="0.3">
      <c r="A23" s="164">
        <v>45413</v>
      </c>
      <c r="B23" s="39">
        <v>1396011.57</v>
      </c>
    </row>
    <row r="24" spans="1:5" x14ac:dyDescent="0.3">
      <c r="A24" s="164">
        <v>45444</v>
      </c>
      <c r="B24" s="39">
        <v>1984901.93</v>
      </c>
    </row>
    <row r="25" spans="1:5" x14ac:dyDescent="0.3">
      <c r="A25" s="164">
        <v>45474</v>
      </c>
      <c r="B25" s="39">
        <v>2210945.39</v>
      </c>
    </row>
    <row r="26" spans="1:5" x14ac:dyDescent="0.3">
      <c r="A26" s="164">
        <v>45505</v>
      </c>
      <c r="B26" s="39">
        <v>2210945.39</v>
      </c>
    </row>
    <row r="27" spans="1:5" x14ac:dyDescent="0.3">
      <c r="A27" s="164">
        <v>45536</v>
      </c>
      <c r="B27" s="39">
        <v>2865458.93</v>
      </c>
    </row>
    <row r="28" spans="1:5" x14ac:dyDescent="0.3">
      <c r="A28" s="164">
        <v>45566</v>
      </c>
      <c r="B28" s="39">
        <v>1446375.72</v>
      </c>
    </row>
    <row r="29" spans="1:5" x14ac:dyDescent="0.3">
      <c r="A29" s="164">
        <v>45597</v>
      </c>
      <c r="B29" s="39">
        <v>1493752.24</v>
      </c>
      <c r="C29" s="39">
        <v>1493752.24</v>
      </c>
      <c r="D29" s="39">
        <v>1493752.24</v>
      </c>
      <c r="E29" s="39">
        <v>1493752.24</v>
      </c>
    </row>
    <row r="30" spans="1:5" x14ac:dyDescent="0.3">
      <c r="A30" s="164">
        <v>45628</v>
      </c>
      <c r="B30" s="39">
        <v>1516921.7988396273</v>
      </c>
      <c r="C30" s="39">
        <f t="shared" ref="C30:C36" si="0">_xlfn.FORECAST.ETS(A30,$B$2:$B$29,$A$2:$A$29,1,1)</f>
        <v>1516921.7988396273</v>
      </c>
      <c r="D30" s="39">
        <f t="shared" ref="D30:D36" si="1">C30-_xlfn.FORECAST.ETS.CONFINT(A30,$B$2:$B$29,$A$2:$A$29,0.95,1,1)</f>
        <v>563453.32018287806</v>
      </c>
      <c r="E30" s="39">
        <f t="shared" ref="E30:E36" si="2">C30+_xlfn.FORECAST.ETS.CONFINT(A30,$B$2:$B$29,$A$2:$A$29,0.95,1,1)</f>
        <v>2470390.2774963765</v>
      </c>
    </row>
    <row r="31" spans="1:5" x14ac:dyDescent="0.3">
      <c r="A31" s="164">
        <v>45659</v>
      </c>
      <c r="B31" s="39">
        <v>1539367.308965517</v>
      </c>
      <c r="C31" s="39">
        <f t="shared" si="0"/>
        <v>1539367.308965517</v>
      </c>
      <c r="D31" s="39">
        <f t="shared" si="1"/>
        <v>350789.10204779822</v>
      </c>
      <c r="E31" s="39">
        <f t="shared" si="2"/>
        <v>2727945.5158832357</v>
      </c>
    </row>
    <row r="32" spans="1:5" x14ac:dyDescent="0.3">
      <c r="A32" s="164">
        <v>45690</v>
      </c>
      <c r="B32" s="39">
        <v>1561890.3957393065</v>
      </c>
      <c r="C32" s="39">
        <f t="shared" si="0"/>
        <v>1561890.3957393065</v>
      </c>
      <c r="D32" s="39">
        <f t="shared" si="1"/>
        <v>176456.91402710322</v>
      </c>
      <c r="E32" s="39">
        <f t="shared" si="2"/>
        <v>2947323.8774515097</v>
      </c>
    </row>
    <row r="33" spans="1:5" x14ac:dyDescent="0.3">
      <c r="A33" s="164">
        <v>45721</v>
      </c>
      <c r="B33" s="39">
        <v>1586430.4753585109</v>
      </c>
      <c r="C33" s="39">
        <f t="shared" si="0"/>
        <v>1586430.4753585109</v>
      </c>
      <c r="D33" s="39">
        <f t="shared" si="1"/>
        <v>13820.859930403298</v>
      </c>
      <c r="E33" s="39">
        <f t="shared" si="2"/>
        <v>3159040.0907866182</v>
      </c>
    </row>
    <row r="34" spans="1:5" x14ac:dyDescent="0.3">
      <c r="A34" s="164">
        <v>45752</v>
      </c>
      <c r="B34" s="39">
        <v>1608972.5253128982</v>
      </c>
      <c r="C34" s="39">
        <f t="shared" si="0"/>
        <v>1608972.5253128982</v>
      </c>
      <c r="D34" s="39">
        <f t="shared" si="1"/>
        <v>-118183.47998828418</v>
      </c>
      <c r="E34" s="39">
        <f t="shared" si="2"/>
        <v>3336128.5306140808</v>
      </c>
    </row>
    <row r="35" spans="1:5" x14ac:dyDescent="0.3">
      <c r="A35" s="164">
        <v>45783</v>
      </c>
      <c r="B35" s="39">
        <v>1632045.5443240278</v>
      </c>
      <c r="C35" s="39">
        <f t="shared" si="0"/>
        <v>1632045.5443240278</v>
      </c>
      <c r="D35" s="39">
        <f t="shared" si="1"/>
        <v>-240510.33240992436</v>
      </c>
      <c r="E35" s="39">
        <f t="shared" si="2"/>
        <v>3504601.42105798</v>
      </c>
    </row>
    <row r="36" spans="1:5" x14ac:dyDescent="0.3">
      <c r="A36" s="164">
        <v>45814</v>
      </c>
      <c r="B36" s="39">
        <v>1654611.7292355401</v>
      </c>
      <c r="C36" s="39">
        <f t="shared" si="0"/>
        <v>1654611.7292355401</v>
      </c>
      <c r="D36" s="39">
        <f t="shared" si="1"/>
        <v>-350315.85548954317</v>
      </c>
      <c r="E36" s="39">
        <f t="shared" si="2"/>
        <v>3659539.3139606235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23CB-B9EA-44D7-8459-DF687C0D1B62}">
  <dimension ref="A1:K37"/>
  <sheetViews>
    <sheetView topLeftCell="A22" workbookViewId="0"/>
  </sheetViews>
  <sheetFormatPr defaultRowHeight="14.4" x14ac:dyDescent="0.3"/>
  <cols>
    <col min="1" max="1" width="12.5546875" bestFit="1" customWidth="1"/>
    <col min="2" max="3" width="11.218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174822.25</v>
      </c>
    </row>
    <row r="3" spans="1:5" x14ac:dyDescent="0.3">
      <c r="A3" s="164">
        <v>44805</v>
      </c>
      <c r="B3" s="39">
        <v>169213.75</v>
      </c>
    </row>
    <row r="4" spans="1:5" x14ac:dyDescent="0.3">
      <c r="A4" s="164">
        <v>44835</v>
      </c>
      <c r="B4" s="39">
        <v>186978.65</v>
      </c>
    </row>
    <row r="5" spans="1:5" x14ac:dyDescent="0.3">
      <c r="A5" s="164">
        <v>44866</v>
      </c>
      <c r="B5" s="39">
        <v>178899</v>
      </c>
    </row>
    <row r="6" spans="1:5" x14ac:dyDescent="0.3">
      <c r="A6" s="164">
        <v>44896</v>
      </c>
      <c r="B6" s="39">
        <v>184681.88</v>
      </c>
    </row>
    <row r="7" spans="1:5" x14ac:dyDescent="0.3">
      <c r="A7" s="164">
        <v>44927</v>
      </c>
      <c r="B7" s="39">
        <v>184621.72</v>
      </c>
    </row>
    <row r="8" spans="1:5" x14ac:dyDescent="0.3">
      <c r="A8" s="164">
        <v>44958</v>
      </c>
      <c r="B8" s="39">
        <v>168857.01</v>
      </c>
    </row>
    <row r="9" spans="1:5" x14ac:dyDescent="0.3">
      <c r="A9" s="164">
        <v>44986</v>
      </c>
      <c r="B9" s="39">
        <v>188652.27</v>
      </c>
    </row>
    <row r="10" spans="1:5" x14ac:dyDescent="0.3">
      <c r="A10" s="164">
        <v>45017</v>
      </c>
      <c r="B10" s="39">
        <v>184346.12</v>
      </c>
    </row>
    <row r="11" spans="1:5" x14ac:dyDescent="0.3">
      <c r="A11" s="164">
        <v>45047</v>
      </c>
      <c r="B11" s="39">
        <v>192309.12</v>
      </c>
    </row>
    <row r="12" spans="1:5" x14ac:dyDescent="0.3">
      <c r="A12" s="164">
        <v>45078</v>
      </c>
      <c r="B12" s="39">
        <v>198240.05</v>
      </c>
    </row>
    <row r="13" spans="1:5" x14ac:dyDescent="0.3">
      <c r="A13" s="164">
        <v>45108</v>
      </c>
      <c r="B13" s="39">
        <v>200679.52</v>
      </c>
    </row>
    <row r="14" spans="1:5" x14ac:dyDescent="0.3">
      <c r="A14" s="164">
        <v>45139</v>
      </c>
      <c r="B14" s="39">
        <v>226112.85</v>
      </c>
    </row>
    <row r="15" spans="1:5" x14ac:dyDescent="0.3">
      <c r="A15" s="164">
        <v>45170</v>
      </c>
      <c r="B15" s="39">
        <v>9069.6</v>
      </c>
    </row>
    <row r="16" spans="1:5" x14ac:dyDescent="0.3">
      <c r="A16" s="164">
        <v>45200</v>
      </c>
      <c r="B16" s="39">
        <v>226112.85</v>
      </c>
    </row>
    <row r="17" spans="1:11" x14ac:dyDescent="0.3">
      <c r="A17" s="164">
        <v>45231</v>
      </c>
      <c r="B17" s="39">
        <v>226112.85</v>
      </c>
    </row>
    <row r="18" spans="1:11" x14ac:dyDescent="0.3">
      <c r="A18" s="164">
        <v>45261</v>
      </c>
      <c r="B18" s="39">
        <v>226469.65</v>
      </c>
    </row>
    <row r="19" spans="1:11" x14ac:dyDescent="0.3">
      <c r="A19" s="164">
        <v>45292</v>
      </c>
      <c r="B19" s="39">
        <v>226112.85</v>
      </c>
    </row>
    <row r="20" spans="1:11" x14ac:dyDescent="0.3">
      <c r="A20" s="164">
        <v>45323</v>
      </c>
      <c r="B20" s="39">
        <v>226112.85</v>
      </c>
    </row>
    <row r="21" spans="1:11" x14ac:dyDescent="0.3">
      <c r="A21" s="164">
        <v>45352</v>
      </c>
      <c r="B21" s="39">
        <v>211677.75</v>
      </c>
    </row>
    <row r="22" spans="1:11" x14ac:dyDescent="0.3">
      <c r="A22" s="164">
        <v>45383</v>
      </c>
      <c r="B22" s="39">
        <v>226112.85</v>
      </c>
    </row>
    <row r="23" spans="1:11" x14ac:dyDescent="0.3">
      <c r="A23" s="164">
        <v>45413</v>
      </c>
      <c r="B23" s="39">
        <v>218895.3</v>
      </c>
    </row>
    <row r="24" spans="1:11" x14ac:dyDescent="0.3">
      <c r="A24" s="164">
        <v>45444</v>
      </c>
      <c r="B24" s="39">
        <v>233330.4</v>
      </c>
    </row>
    <row r="25" spans="1:11" x14ac:dyDescent="0.3">
      <c r="A25" s="164">
        <v>45474</v>
      </c>
      <c r="B25" s="39">
        <v>236552.66249999998</v>
      </c>
    </row>
    <row r="26" spans="1:11" x14ac:dyDescent="0.3">
      <c r="A26" s="164">
        <v>45505</v>
      </c>
      <c r="B26" s="39">
        <v>239774.92499999999</v>
      </c>
    </row>
    <row r="27" spans="1:11" x14ac:dyDescent="0.3">
      <c r="A27" s="164">
        <v>45536</v>
      </c>
      <c r="B27" s="39">
        <v>254873.98</v>
      </c>
    </row>
    <row r="28" spans="1:11" x14ac:dyDescent="0.3">
      <c r="A28" s="164">
        <v>45566</v>
      </c>
      <c r="B28" s="39">
        <v>246738.36</v>
      </c>
    </row>
    <row r="29" spans="1:11" x14ac:dyDescent="0.3">
      <c r="A29" s="164">
        <v>45597</v>
      </c>
      <c r="B29" s="39">
        <v>254873.98</v>
      </c>
      <c r="C29" s="39">
        <v>254873.98</v>
      </c>
      <c r="D29" s="39">
        <v>254873.98</v>
      </c>
      <c r="E29" s="39">
        <v>254873.98</v>
      </c>
    </row>
    <row r="30" spans="1:11" x14ac:dyDescent="0.3">
      <c r="A30" s="164">
        <v>45627</v>
      </c>
      <c r="C30" s="39">
        <f t="shared" ref="C30:C36" si="0">_xlfn.FORECAST.ETS(A30,$B$2:$B$29,$A$2:$A$29,1,1)</f>
        <v>254857.17841877445</v>
      </c>
      <c r="D30" s="39">
        <f t="shared" ref="D30:D36" si="1">C30-_xlfn.FORECAST.ETS.CONFINT(A30,$B$2:$B$29,$A$2:$A$29,0.95,1,1)</f>
        <v>176846.43516571936</v>
      </c>
      <c r="E30" s="39">
        <f t="shared" ref="E30:E36" si="2">C30+_xlfn.FORECAST.ETS.CONFINT(A30,$B$2:$B$29,$A$2:$A$29,0.95,1,1)</f>
        <v>332867.92167182954</v>
      </c>
    </row>
    <row r="31" spans="1:11" x14ac:dyDescent="0.3">
      <c r="A31" s="164">
        <v>45658</v>
      </c>
      <c r="C31" s="39">
        <f t="shared" si="0"/>
        <v>257605.24298806826</v>
      </c>
      <c r="D31" s="39">
        <f t="shared" si="1"/>
        <v>179594.14868745842</v>
      </c>
      <c r="E31" s="39">
        <f t="shared" si="2"/>
        <v>335616.3372886781</v>
      </c>
      <c r="K31">
        <v>254857.17841877445</v>
      </c>
    </row>
    <row r="32" spans="1:11" x14ac:dyDescent="0.3">
      <c r="A32" s="164">
        <v>45689</v>
      </c>
      <c r="C32" s="39">
        <f t="shared" si="0"/>
        <v>260353.30755736219</v>
      </c>
      <c r="D32" s="39">
        <f t="shared" si="1"/>
        <v>182341.58917611098</v>
      </c>
      <c r="E32" s="39">
        <f t="shared" si="2"/>
        <v>338365.0259386134</v>
      </c>
      <c r="K32">
        <v>257605.24298806826</v>
      </c>
    </row>
    <row r="33" spans="1:11" x14ac:dyDescent="0.3">
      <c r="A33" s="164">
        <v>45717</v>
      </c>
      <c r="C33" s="39">
        <f t="shared" si="0"/>
        <v>263101.37212665606</v>
      </c>
      <c r="D33" s="39">
        <f t="shared" si="1"/>
        <v>185088.67862939741</v>
      </c>
      <c r="E33" s="39">
        <f t="shared" si="2"/>
        <v>341114.06562391471</v>
      </c>
      <c r="K33">
        <v>260353.30755736219</v>
      </c>
    </row>
    <row r="34" spans="1:11" x14ac:dyDescent="0.3">
      <c r="A34" s="164">
        <v>45748</v>
      </c>
      <c r="C34" s="39">
        <f t="shared" si="0"/>
        <v>265849.43669594993</v>
      </c>
      <c r="D34" s="39">
        <f t="shared" si="1"/>
        <v>187835.3390530528</v>
      </c>
      <c r="E34" s="39">
        <f t="shared" si="2"/>
        <v>343863.53433884704</v>
      </c>
      <c r="K34">
        <v>263101.37212665606</v>
      </c>
    </row>
    <row r="35" spans="1:11" x14ac:dyDescent="0.3">
      <c r="A35" s="164">
        <v>45778</v>
      </c>
      <c r="C35" s="39">
        <f t="shared" si="0"/>
        <v>268597.5012652438</v>
      </c>
      <c r="D35" s="39">
        <f t="shared" si="1"/>
        <v>190581.49246472539</v>
      </c>
      <c r="E35" s="39">
        <f t="shared" si="2"/>
        <v>346613.51006576221</v>
      </c>
      <c r="K35">
        <v>265849.43669594993</v>
      </c>
    </row>
    <row r="36" spans="1:11" x14ac:dyDescent="0.3">
      <c r="A36" s="164">
        <v>45809</v>
      </c>
      <c r="C36" s="39">
        <f t="shared" si="0"/>
        <v>271345.56583453767</v>
      </c>
      <c r="D36" s="39">
        <f t="shared" si="1"/>
        <v>193327.06089865344</v>
      </c>
      <c r="E36" s="39">
        <f t="shared" si="2"/>
        <v>349364.07077042188</v>
      </c>
      <c r="K36">
        <v>268597.5012652438</v>
      </c>
    </row>
    <row r="37" spans="1:11" x14ac:dyDescent="0.3">
      <c r="K37">
        <v>271345.56583453767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5343-BA12-42C2-9261-A73BB8E5146D}">
  <dimension ref="A1:I36"/>
  <sheetViews>
    <sheetView topLeftCell="A16" zoomScale="80" zoomScaleNormal="80" workbookViewId="0">
      <selection activeCell="E40" sqref="E40"/>
    </sheetView>
  </sheetViews>
  <sheetFormatPr defaultRowHeight="14.4" x14ac:dyDescent="0.3"/>
  <cols>
    <col min="1" max="1" width="12.5546875" bestFit="1" customWidth="1"/>
    <col min="2" max="2" width="15.77734375" customWidth="1"/>
    <col min="3" max="3" width="15.44140625" customWidth="1"/>
    <col min="4" max="4" width="23.5546875" customWidth="1"/>
    <col min="5" max="5" width="23.77734375" customWidth="1"/>
    <col min="9" max="9" width="18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367664.46</v>
      </c>
    </row>
    <row r="3" spans="1:5" x14ac:dyDescent="0.3">
      <c r="A3" s="164">
        <v>44805</v>
      </c>
      <c r="B3" s="39">
        <v>355804.32</v>
      </c>
    </row>
    <row r="4" spans="1:5" x14ac:dyDescent="0.3">
      <c r="A4" s="164">
        <v>44835</v>
      </c>
      <c r="B4" s="39">
        <v>367664.46</v>
      </c>
    </row>
    <row r="5" spans="1:5" x14ac:dyDescent="0.3">
      <c r="A5" s="164">
        <v>44866</v>
      </c>
      <c r="B5" s="39">
        <v>355804.32</v>
      </c>
    </row>
    <row r="6" spans="1:5" x14ac:dyDescent="0.3">
      <c r="A6" s="164">
        <v>44896</v>
      </c>
      <c r="B6" s="39">
        <v>367664.46</v>
      </c>
    </row>
    <row r="7" spans="1:5" x14ac:dyDescent="0.3">
      <c r="A7" s="164">
        <v>44927</v>
      </c>
      <c r="B7" s="39">
        <v>367664.46</v>
      </c>
    </row>
    <row r="8" spans="1:5" x14ac:dyDescent="0.3">
      <c r="A8" s="164">
        <v>44958</v>
      </c>
      <c r="B8" s="39">
        <v>332084.03000000003</v>
      </c>
    </row>
    <row r="9" spans="1:5" x14ac:dyDescent="0.3">
      <c r="A9" s="164">
        <v>44986</v>
      </c>
      <c r="B9" s="39">
        <v>367664.46</v>
      </c>
    </row>
    <row r="10" spans="1:5" x14ac:dyDescent="0.3">
      <c r="A10" s="164">
        <v>45017</v>
      </c>
      <c r="B10" s="39">
        <v>355804.32</v>
      </c>
    </row>
    <row r="11" spans="1:5" x14ac:dyDescent="0.3">
      <c r="A11" s="164">
        <v>45047</v>
      </c>
      <c r="B11" s="39">
        <v>367664.46</v>
      </c>
    </row>
    <row r="12" spans="1:5" x14ac:dyDescent="0.3">
      <c r="A12" s="164">
        <v>45078</v>
      </c>
      <c r="B12" s="39">
        <v>360909.68</v>
      </c>
    </row>
    <row r="13" spans="1:5" x14ac:dyDescent="0.3">
      <c r="A13" s="164">
        <v>45108</v>
      </c>
      <c r="B13" s="39">
        <v>398345.71</v>
      </c>
    </row>
    <row r="14" spans="1:5" x14ac:dyDescent="0.3">
      <c r="A14" s="164">
        <v>45139</v>
      </c>
      <c r="B14" s="39">
        <v>488418.01</v>
      </c>
    </row>
    <row r="15" spans="1:5" x14ac:dyDescent="0.3">
      <c r="A15" s="164">
        <v>45170</v>
      </c>
      <c r="B15" s="39">
        <v>457891.88</v>
      </c>
    </row>
    <row r="16" spans="1:5" x14ac:dyDescent="0.3">
      <c r="A16" s="164">
        <v>45200</v>
      </c>
      <c r="B16" s="39">
        <v>457891.88</v>
      </c>
    </row>
    <row r="17" spans="1:9" x14ac:dyDescent="0.3">
      <c r="A17" s="164">
        <v>45231</v>
      </c>
      <c r="B17" s="39">
        <v>473154.95</v>
      </c>
    </row>
    <row r="18" spans="1:9" x14ac:dyDescent="0.3">
      <c r="A18" s="164">
        <v>45261</v>
      </c>
      <c r="B18" s="39">
        <v>457891.88</v>
      </c>
    </row>
    <row r="19" spans="1:9" x14ac:dyDescent="0.3">
      <c r="A19" s="164">
        <v>45292</v>
      </c>
      <c r="B19" s="39">
        <v>473154.95</v>
      </c>
    </row>
    <row r="20" spans="1:9" x14ac:dyDescent="0.3">
      <c r="A20" s="164">
        <v>45323</v>
      </c>
      <c r="B20" s="39">
        <v>473154.95</v>
      </c>
    </row>
    <row r="21" spans="1:9" x14ac:dyDescent="0.3">
      <c r="A21" s="164">
        <v>45352</v>
      </c>
      <c r="B21" s="39">
        <v>442628.82</v>
      </c>
    </row>
    <row r="22" spans="1:9" x14ac:dyDescent="0.3">
      <c r="A22" s="164">
        <v>45383</v>
      </c>
      <c r="B22" s="39">
        <v>473154.95</v>
      </c>
    </row>
    <row r="23" spans="1:9" x14ac:dyDescent="0.3">
      <c r="A23" s="164">
        <v>45413</v>
      </c>
      <c r="B23" s="39">
        <v>457891.88</v>
      </c>
    </row>
    <row r="24" spans="1:9" x14ac:dyDescent="0.3">
      <c r="A24" s="164">
        <v>45444</v>
      </c>
      <c r="B24" s="39">
        <v>473154.95</v>
      </c>
    </row>
    <row r="25" spans="1:9" x14ac:dyDescent="0.3">
      <c r="A25" s="164">
        <v>45474</v>
      </c>
      <c r="B25" s="39">
        <v>491109.37</v>
      </c>
    </row>
    <row r="26" spans="1:9" x14ac:dyDescent="0.3">
      <c r="A26" s="164">
        <v>45505</v>
      </c>
      <c r="B26" s="39">
        <v>509063.79</v>
      </c>
    </row>
    <row r="27" spans="1:9" x14ac:dyDescent="0.3">
      <c r="A27" s="164">
        <v>45536</v>
      </c>
      <c r="B27" s="39">
        <v>516122.44</v>
      </c>
    </row>
    <row r="28" spans="1:9" x14ac:dyDescent="0.3">
      <c r="A28" s="164">
        <v>45566</v>
      </c>
      <c r="B28" s="39">
        <v>516122.44</v>
      </c>
    </row>
    <row r="29" spans="1:9" x14ac:dyDescent="0.3">
      <c r="A29" s="164">
        <v>45597</v>
      </c>
      <c r="B29" s="39">
        <v>533326.52</v>
      </c>
      <c r="C29" s="39">
        <v>533326.52</v>
      </c>
      <c r="D29" s="39">
        <v>533326.52</v>
      </c>
      <c r="E29" s="39">
        <v>533326.52</v>
      </c>
    </row>
    <row r="30" spans="1:9" x14ac:dyDescent="0.3">
      <c r="A30" s="164">
        <v>45627</v>
      </c>
      <c r="B30">
        <v>538067.81480822735</v>
      </c>
      <c r="C30" s="39">
        <f t="shared" ref="C30:C36" si="0">_xlfn.FORECAST.ETS(A30,$B$2:$B$29,$A$2:$A$29,1,1)</f>
        <v>538067.81480822735</v>
      </c>
      <c r="D30" s="39">
        <f t="shared" ref="D30:D36" si="1">C30-_xlfn.FORECAST.ETS.CONFINT(A30,$B$2:$B$29,$A$2:$A$29,0.95,1,1)</f>
        <v>491741.67593851947</v>
      </c>
      <c r="E30" s="39">
        <f t="shared" ref="E30:E36" si="2">C30+_xlfn.FORECAST.ETS.CONFINT(A30,$B$2:$B$29,$A$2:$A$29,0.95,1,1)</f>
        <v>584393.95367793529</v>
      </c>
      <c r="I30" s="207">
        <v>538067.81480822735</v>
      </c>
    </row>
    <row r="31" spans="1:9" x14ac:dyDescent="0.3">
      <c r="A31" s="164">
        <v>45658</v>
      </c>
      <c r="B31">
        <v>545002.32082616666</v>
      </c>
      <c r="C31" s="39">
        <f t="shared" si="0"/>
        <v>545002.32082616666</v>
      </c>
      <c r="D31" s="39">
        <f t="shared" si="1"/>
        <v>487066.83970190946</v>
      </c>
      <c r="E31" s="39">
        <f t="shared" si="2"/>
        <v>602937.80195042386</v>
      </c>
      <c r="I31" s="207">
        <v>545002.32082616666</v>
      </c>
    </row>
    <row r="32" spans="1:9" x14ac:dyDescent="0.3">
      <c r="A32" s="164">
        <v>45689</v>
      </c>
      <c r="B32">
        <v>551936.82684410585</v>
      </c>
      <c r="C32" s="39">
        <f t="shared" si="0"/>
        <v>551936.82684410585</v>
      </c>
      <c r="D32" s="39">
        <f t="shared" si="1"/>
        <v>484333.90968315664</v>
      </c>
      <c r="E32" s="39">
        <f t="shared" si="2"/>
        <v>619539.74400505505</v>
      </c>
      <c r="I32" s="207">
        <v>551936.82684410585</v>
      </c>
    </row>
    <row r="33" spans="1:9" x14ac:dyDescent="0.3">
      <c r="A33" s="164">
        <v>45717</v>
      </c>
      <c r="B33">
        <v>558871.33286204503</v>
      </c>
      <c r="C33" s="39">
        <f t="shared" si="0"/>
        <v>558871.33286204503</v>
      </c>
      <c r="D33" s="39">
        <f t="shared" si="1"/>
        <v>482798.87568133656</v>
      </c>
      <c r="E33" s="39">
        <f t="shared" si="2"/>
        <v>634943.79004275356</v>
      </c>
      <c r="I33" s="207">
        <v>558871.33286204503</v>
      </c>
    </row>
    <row r="34" spans="1:9" x14ac:dyDescent="0.3">
      <c r="A34" s="164">
        <v>45748</v>
      </c>
      <c r="B34">
        <v>565805.83887998434</v>
      </c>
      <c r="C34" s="39">
        <f t="shared" si="0"/>
        <v>565805.83887998434</v>
      </c>
      <c r="D34" s="39">
        <f t="shared" si="1"/>
        <v>482097.31324583432</v>
      </c>
      <c r="E34" s="39">
        <f t="shared" si="2"/>
        <v>649514.36451413436</v>
      </c>
      <c r="I34" s="207">
        <v>565805.83887998434</v>
      </c>
    </row>
    <row r="35" spans="1:9" x14ac:dyDescent="0.3">
      <c r="A35" s="164">
        <v>45778</v>
      </c>
      <c r="B35">
        <v>572740.34489792353</v>
      </c>
      <c r="C35" s="39">
        <f t="shared" si="0"/>
        <v>572740.34489792353</v>
      </c>
      <c r="D35" s="39">
        <f t="shared" si="1"/>
        <v>482018.49379307817</v>
      </c>
      <c r="E35" s="39">
        <f t="shared" si="2"/>
        <v>663462.19600276893</v>
      </c>
      <c r="I35" s="207">
        <v>572740.34489792353</v>
      </c>
    </row>
    <row r="36" spans="1:9" x14ac:dyDescent="0.3">
      <c r="A36" s="164">
        <v>45809</v>
      </c>
      <c r="B36">
        <v>579674.85091586271</v>
      </c>
      <c r="C36" s="39">
        <f t="shared" si="0"/>
        <v>579674.85091586271</v>
      </c>
      <c r="D36" s="39">
        <f t="shared" si="1"/>
        <v>482427.56794161844</v>
      </c>
      <c r="E36" s="39">
        <f t="shared" si="2"/>
        <v>676922.13389010704</v>
      </c>
      <c r="I36" s="207">
        <v>579674.85091586271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A319-8F39-45DA-8FC7-A9A16B7E06BD}">
  <dimension ref="A1:I36"/>
  <sheetViews>
    <sheetView workbookViewId="0">
      <selection activeCell="I30" sqref="I30:I36"/>
    </sheetView>
  </sheetViews>
  <sheetFormatPr defaultRowHeight="14.4" x14ac:dyDescent="0.3"/>
  <cols>
    <col min="1" max="1" width="12.5546875" bestFit="1" customWidth="1"/>
    <col min="2" max="2" width="9.21875" bestFit="1" customWidth="1"/>
    <col min="3" max="3" width="9.77734375" customWidth="1"/>
    <col min="4" max="4" width="23.5546875" customWidth="1"/>
    <col min="5" max="5" width="23.77734375" customWidth="1"/>
    <col min="9" max="9" width="14.218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5441.5150000000003</v>
      </c>
    </row>
    <row r="3" spans="1:5" x14ac:dyDescent="0.3">
      <c r="A3" s="164">
        <v>44805</v>
      </c>
      <c r="B3" s="39">
        <v>5558.01</v>
      </c>
    </row>
    <row r="4" spans="1:5" x14ac:dyDescent="0.3">
      <c r="A4" s="164">
        <v>44835</v>
      </c>
      <c r="B4" s="39">
        <v>5378.02</v>
      </c>
    </row>
    <row r="5" spans="1:5" x14ac:dyDescent="0.3">
      <c r="A5" s="164">
        <v>44866</v>
      </c>
      <c r="B5" s="39">
        <v>6036.51</v>
      </c>
    </row>
    <row r="6" spans="1:5" x14ac:dyDescent="0.3">
      <c r="A6" s="164">
        <v>44896</v>
      </c>
      <c r="B6" s="39">
        <v>5378.02</v>
      </c>
    </row>
    <row r="7" spans="1:5" x14ac:dyDescent="0.3">
      <c r="A7" s="164">
        <v>44927</v>
      </c>
      <c r="B7" s="39">
        <v>5558.01</v>
      </c>
    </row>
    <row r="8" spans="1:5" x14ac:dyDescent="0.3">
      <c r="A8" s="164">
        <v>44958</v>
      </c>
      <c r="B8" s="39">
        <v>5558.01</v>
      </c>
    </row>
    <row r="9" spans="1:5" x14ac:dyDescent="0.3">
      <c r="A9" s="164">
        <v>44986</v>
      </c>
      <c r="B9" s="39">
        <v>5020.45</v>
      </c>
    </row>
    <row r="10" spans="1:5" x14ac:dyDescent="0.3">
      <c r="A10" s="164">
        <v>45017</v>
      </c>
      <c r="B10" s="39">
        <v>5558.01</v>
      </c>
    </row>
    <row r="11" spans="1:5" x14ac:dyDescent="0.3">
      <c r="A11" s="164">
        <v>45047</v>
      </c>
      <c r="B11" s="39">
        <v>5378.02</v>
      </c>
    </row>
    <row r="12" spans="1:5" x14ac:dyDescent="0.3">
      <c r="A12" s="164">
        <v>45078</v>
      </c>
      <c r="B12" s="39">
        <v>6459.11</v>
      </c>
    </row>
    <row r="13" spans="1:5" x14ac:dyDescent="0.3">
      <c r="A13" s="164">
        <v>45108</v>
      </c>
      <c r="B13" s="39">
        <v>6850.58</v>
      </c>
    </row>
    <row r="14" spans="1:5" x14ac:dyDescent="0.3">
      <c r="A14" s="164">
        <v>45139</v>
      </c>
      <c r="B14" s="39">
        <v>7152.71</v>
      </c>
    </row>
    <row r="15" spans="1:5" x14ac:dyDescent="0.3">
      <c r="A15" s="164">
        <v>45170</v>
      </c>
      <c r="B15" s="39">
        <v>7152.71</v>
      </c>
    </row>
    <row r="16" spans="1:5" x14ac:dyDescent="0.3">
      <c r="A16" s="164">
        <v>45200</v>
      </c>
      <c r="B16" s="39">
        <v>6921.08</v>
      </c>
    </row>
    <row r="17" spans="1:9" x14ac:dyDescent="0.3">
      <c r="A17" s="164">
        <v>45231</v>
      </c>
      <c r="B17" s="39">
        <v>7152.71</v>
      </c>
    </row>
    <row r="18" spans="1:9" x14ac:dyDescent="0.3">
      <c r="A18" s="164">
        <v>45261</v>
      </c>
      <c r="B18" s="39">
        <v>6921.08</v>
      </c>
    </row>
    <row r="19" spans="1:9" x14ac:dyDescent="0.3">
      <c r="A19" s="164">
        <v>45292</v>
      </c>
      <c r="B19" s="39">
        <v>7152.71</v>
      </c>
    </row>
    <row r="20" spans="1:9" x14ac:dyDescent="0.3">
      <c r="A20" s="164">
        <v>45323</v>
      </c>
      <c r="B20" s="39">
        <v>7152.71</v>
      </c>
    </row>
    <row r="21" spans="1:9" x14ac:dyDescent="0.3">
      <c r="A21" s="164">
        <v>45352</v>
      </c>
      <c r="B21" s="39">
        <v>6691</v>
      </c>
    </row>
    <row r="22" spans="1:9" x14ac:dyDescent="0.3">
      <c r="A22" s="164">
        <v>45383</v>
      </c>
      <c r="B22" s="39">
        <v>7152.71</v>
      </c>
    </row>
    <row r="23" spans="1:9" x14ac:dyDescent="0.3">
      <c r="A23" s="164">
        <v>45413</v>
      </c>
      <c r="B23" s="39">
        <v>6921.08</v>
      </c>
    </row>
    <row r="24" spans="1:9" x14ac:dyDescent="0.3">
      <c r="A24" s="164">
        <v>45444</v>
      </c>
      <c r="B24" s="39">
        <v>7152.71</v>
      </c>
    </row>
    <row r="25" spans="1:9" x14ac:dyDescent="0.3">
      <c r="A25" s="164">
        <v>45474</v>
      </c>
      <c r="B25" s="39">
        <v>7528.0074999999997</v>
      </c>
    </row>
    <row r="26" spans="1:9" x14ac:dyDescent="0.3">
      <c r="A26" s="164">
        <v>45505</v>
      </c>
      <c r="B26" s="39">
        <v>7903.3050000000003</v>
      </c>
    </row>
    <row r="27" spans="1:9" x14ac:dyDescent="0.3">
      <c r="A27" s="164">
        <v>45536</v>
      </c>
      <c r="B27" s="39">
        <v>8062.33</v>
      </c>
    </row>
    <row r="28" spans="1:9" x14ac:dyDescent="0.3">
      <c r="A28" s="164">
        <v>45566</v>
      </c>
      <c r="B28" s="39">
        <v>7801.24</v>
      </c>
    </row>
    <row r="29" spans="1:9" x14ac:dyDescent="0.3">
      <c r="A29" s="164">
        <v>45597</v>
      </c>
      <c r="B29" s="39">
        <v>8062.33</v>
      </c>
      <c r="C29" s="39">
        <v>8062.33</v>
      </c>
      <c r="D29" s="39">
        <v>8062.33</v>
      </c>
      <c r="E29" s="39">
        <v>8062.33</v>
      </c>
    </row>
    <row r="30" spans="1:9" x14ac:dyDescent="0.3">
      <c r="A30" s="164">
        <v>45627</v>
      </c>
      <c r="C30" s="39">
        <f t="shared" ref="C30:C36" si="0">_xlfn.FORECAST.ETS(A30,$B$2:$B$29,$A$2:$A$29,1,1)</f>
        <v>8146.3738910395577</v>
      </c>
      <c r="D30" s="39">
        <f t="shared" ref="D30:D36" si="1">C30-_xlfn.FORECAST.ETS.CONFINT(A30,$B$2:$B$29,$A$2:$A$29,0.95,1,1)</f>
        <v>7444.3640886641406</v>
      </c>
      <c r="E30" s="39">
        <f t="shared" ref="E30:E36" si="2">C30+_xlfn.FORECAST.ETS.CONFINT(A30,$B$2:$B$29,$A$2:$A$29,0.95,1,1)</f>
        <v>8848.3836934149749</v>
      </c>
      <c r="I30">
        <v>8146.3738910395577</v>
      </c>
    </row>
    <row r="31" spans="1:9" x14ac:dyDescent="0.3">
      <c r="A31" s="164">
        <v>45658</v>
      </c>
      <c r="C31" s="39">
        <f t="shared" si="0"/>
        <v>8249.3986198164839</v>
      </c>
      <c r="D31" s="39">
        <f t="shared" si="1"/>
        <v>7371.4649813375181</v>
      </c>
      <c r="E31" s="39">
        <f t="shared" si="2"/>
        <v>9127.3322582954497</v>
      </c>
      <c r="I31">
        <v>8249.3986198164839</v>
      </c>
    </row>
    <row r="32" spans="1:9" x14ac:dyDescent="0.3">
      <c r="A32" s="164">
        <v>45689</v>
      </c>
      <c r="C32" s="39">
        <f t="shared" si="0"/>
        <v>8352.423348593411</v>
      </c>
      <c r="D32" s="39">
        <f t="shared" si="1"/>
        <v>7327.9928289329055</v>
      </c>
      <c r="E32" s="39">
        <f t="shared" si="2"/>
        <v>9376.8538682539165</v>
      </c>
      <c r="I32">
        <v>8352.423348593411</v>
      </c>
    </row>
    <row r="33" spans="1:9" x14ac:dyDescent="0.3">
      <c r="A33" s="164">
        <v>45717</v>
      </c>
      <c r="C33" s="39">
        <f t="shared" si="0"/>
        <v>8455.4480773703381</v>
      </c>
      <c r="D33" s="39">
        <f t="shared" si="1"/>
        <v>7302.6731659571724</v>
      </c>
      <c r="E33" s="39">
        <f t="shared" si="2"/>
        <v>9608.2229887835038</v>
      </c>
      <c r="I33">
        <v>8455.4480773703381</v>
      </c>
    </row>
    <row r="34" spans="1:9" x14ac:dyDescent="0.3">
      <c r="A34" s="164">
        <v>45748</v>
      </c>
      <c r="C34" s="39">
        <f t="shared" si="0"/>
        <v>8558.4728061472633</v>
      </c>
      <c r="D34" s="39">
        <f t="shared" si="1"/>
        <v>7289.9836341305463</v>
      </c>
      <c r="E34" s="39">
        <f t="shared" si="2"/>
        <v>9826.9619781639813</v>
      </c>
      <c r="I34">
        <v>8558.4728061472633</v>
      </c>
    </row>
    <row r="35" spans="1:9" x14ac:dyDescent="0.3">
      <c r="A35" s="164">
        <v>45778</v>
      </c>
      <c r="C35" s="39">
        <f t="shared" si="0"/>
        <v>8661.4975349241904</v>
      </c>
      <c r="D35" s="39">
        <f t="shared" si="1"/>
        <v>7286.7309275804237</v>
      </c>
      <c r="E35" s="39">
        <f t="shared" si="2"/>
        <v>10036.264142267957</v>
      </c>
      <c r="I35">
        <v>8661.4975349241904</v>
      </c>
    </row>
    <row r="36" spans="1:9" x14ac:dyDescent="0.3">
      <c r="A36" s="164">
        <v>45809</v>
      </c>
      <c r="C36" s="39">
        <f t="shared" si="0"/>
        <v>8764.5222637011175</v>
      </c>
      <c r="D36" s="39">
        <f t="shared" si="1"/>
        <v>7290.8715868273002</v>
      </c>
      <c r="E36" s="39">
        <f t="shared" si="2"/>
        <v>10238.172940574934</v>
      </c>
      <c r="I36">
        <v>8764.5222637011175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A83E-274B-49BE-AD08-A802D4C34ACE}">
  <dimension ref="A1:K37"/>
  <sheetViews>
    <sheetView workbookViewId="0">
      <selection activeCell="J2" sqref="J2:K37"/>
    </sheetView>
  </sheetViews>
  <sheetFormatPr defaultRowHeight="14.4" x14ac:dyDescent="0.3"/>
  <cols>
    <col min="1" max="1" width="12.5546875" customWidth="1"/>
    <col min="2" max="2" width="18.77734375" customWidth="1"/>
    <col min="3" max="3" width="16.77734375" customWidth="1"/>
    <col min="4" max="4" width="13.5546875" customWidth="1"/>
    <col min="5" max="5" width="17.21875" customWidth="1"/>
    <col min="7" max="7" width="18.21875" customWidth="1"/>
    <col min="8" max="8" width="17.44140625" customWidth="1"/>
    <col min="10" max="10" width="18.77734375" customWidth="1"/>
    <col min="11" max="11" width="14.21875" customWidth="1"/>
  </cols>
  <sheetData>
    <row r="1" spans="1:11" ht="15" thickBot="1" x14ac:dyDescent="0.35">
      <c r="B1" t="s">
        <v>175</v>
      </c>
      <c r="E1" t="s">
        <v>176</v>
      </c>
      <c r="H1" t="s">
        <v>177</v>
      </c>
      <c r="K1" t="s">
        <v>178</v>
      </c>
    </row>
    <row r="2" spans="1:11" ht="15" thickBot="1" x14ac:dyDescent="0.35">
      <c r="A2" s="40">
        <v>44770</v>
      </c>
      <c r="B2" s="153">
        <v>174822.25</v>
      </c>
      <c r="D2" s="40">
        <v>44770</v>
      </c>
      <c r="E2" s="153">
        <v>200885.71</v>
      </c>
      <c r="G2" s="196">
        <v>44770</v>
      </c>
      <c r="H2" s="157">
        <v>367664.46</v>
      </c>
      <c r="J2" s="196">
        <v>44770</v>
      </c>
      <c r="K2" s="157">
        <v>5325.02</v>
      </c>
    </row>
    <row r="3" spans="1:11" ht="15" thickBot="1" x14ac:dyDescent="0.35">
      <c r="A3" s="24">
        <v>44774</v>
      </c>
      <c r="B3" s="157">
        <v>174822.25</v>
      </c>
      <c r="D3" s="24">
        <v>44774</v>
      </c>
      <c r="E3" s="160">
        <v>160001.72</v>
      </c>
      <c r="G3" s="196">
        <v>44774</v>
      </c>
      <c r="H3" s="157">
        <v>367664.46</v>
      </c>
      <c r="J3" s="196">
        <v>44774</v>
      </c>
      <c r="K3" s="157">
        <v>5558.01</v>
      </c>
    </row>
    <row r="4" spans="1:11" ht="15" thickBot="1" x14ac:dyDescent="0.35">
      <c r="A4" s="24">
        <v>44805</v>
      </c>
      <c r="B4" s="157">
        <v>169213.75</v>
      </c>
      <c r="D4" s="24">
        <v>44805</v>
      </c>
      <c r="E4" s="160">
        <v>123004.43</v>
      </c>
      <c r="G4" s="196">
        <v>44805</v>
      </c>
      <c r="H4" s="157">
        <v>355804.32</v>
      </c>
      <c r="J4" s="196">
        <v>44805</v>
      </c>
      <c r="K4" s="157">
        <v>5558.01</v>
      </c>
    </row>
    <row r="5" spans="1:11" ht="15" thickBot="1" x14ac:dyDescent="0.35">
      <c r="A5" s="24">
        <v>44835</v>
      </c>
      <c r="B5" s="157">
        <v>186978.65</v>
      </c>
      <c r="D5" s="24">
        <v>44835</v>
      </c>
      <c r="E5" s="160">
        <v>120148.05</v>
      </c>
      <c r="G5" s="196">
        <v>44835</v>
      </c>
      <c r="H5" s="157">
        <v>367664.46</v>
      </c>
      <c r="J5" s="196">
        <v>44835</v>
      </c>
      <c r="K5" s="157">
        <v>5378.02</v>
      </c>
    </row>
    <row r="6" spans="1:11" ht="15" thickBot="1" x14ac:dyDescent="0.35">
      <c r="A6" s="24">
        <v>44866</v>
      </c>
      <c r="B6" s="157">
        <v>178899</v>
      </c>
      <c r="D6" s="24">
        <v>44866</v>
      </c>
      <c r="E6" s="160">
        <v>118978.53</v>
      </c>
      <c r="G6" s="196">
        <v>44866</v>
      </c>
      <c r="H6" s="157">
        <v>355804.32</v>
      </c>
      <c r="J6" s="196">
        <v>44866</v>
      </c>
      <c r="K6" s="157">
        <v>6036.51</v>
      </c>
    </row>
    <row r="7" spans="1:11" ht="15" thickBot="1" x14ac:dyDescent="0.35">
      <c r="A7" s="24">
        <v>44896</v>
      </c>
      <c r="B7" s="157">
        <v>184681.88</v>
      </c>
      <c r="D7" s="24">
        <v>44896</v>
      </c>
      <c r="E7" s="160">
        <v>138663.49</v>
      </c>
      <c r="G7" s="196">
        <v>44896</v>
      </c>
      <c r="H7" s="157">
        <v>367664.46</v>
      </c>
      <c r="J7" s="196">
        <v>44896</v>
      </c>
      <c r="K7" s="157">
        <v>5378.02</v>
      </c>
    </row>
    <row r="8" spans="1:11" ht="15" thickBot="1" x14ac:dyDescent="0.35">
      <c r="A8" s="24">
        <v>44927</v>
      </c>
      <c r="B8" s="157">
        <v>184621.72</v>
      </c>
      <c r="D8" s="24">
        <v>44927</v>
      </c>
      <c r="E8" s="160">
        <v>125906.76</v>
      </c>
      <c r="G8" s="196">
        <v>44927</v>
      </c>
      <c r="H8" s="157">
        <v>367664.46</v>
      </c>
      <c r="J8" s="196">
        <v>44927</v>
      </c>
      <c r="K8" s="157">
        <v>5558.01</v>
      </c>
    </row>
    <row r="9" spans="1:11" ht="15" thickBot="1" x14ac:dyDescent="0.35">
      <c r="A9" s="24">
        <v>44958</v>
      </c>
      <c r="B9" s="157">
        <v>168857.01</v>
      </c>
      <c r="D9" s="24">
        <v>44958</v>
      </c>
      <c r="E9" s="160">
        <v>116840.05</v>
      </c>
      <c r="G9" s="196">
        <v>44958</v>
      </c>
      <c r="H9" s="157">
        <v>332084.03000000003</v>
      </c>
      <c r="J9" s="196">
        <v>44958</v>
      </c>
      <c r="K9" s="157">
        <v>5558.01</v>
      </c>
    </row>
    <row r="10" spans="1:11" ht="15" thickBot="1" x14ac:dyDescent="0.35">
      <c r="A10" s="24">
        <v>44986</v>
      </c>
      <c r="B10" s="157">
        <v>188652.27</v>
      </c>
      <c r="D10" s="24">
        <v>44986</v>
      </c>
      <c r="E10" s="160">
        <v>132329.51999999999</v>
      </c>
      <c r="G10" s="196">
        <v>44986</v>
      </c>
      <c r="H10" s="157">
        <v>367664.46</v>
      </c>
      <c r="J10" s="196">
        <v>44986</v>
      </c>
      <c r="K10" s="157">
        <v>5020.45</v>
      </c>
    </row>
    <row r="11" spans="1:11" ht="15" thickBot="1" x14ac:dyDescent="0.35">
      <c r="A11" s="24">
        <v>45017</v>
      </c>
      <c r="B11" s="157">
        <v>184346.12</v>
      </c>
      <c r="D11" s="24">
        <v>45017</v>
      </c>
      <c r="E11" s="160">
        <v>130717.9</v>
      </c>
      <c r="G11" s="196">
        <v>45017</v>
      </c>
      <c r="H11" s="157">
        <v>355804.32</v>
      </c>
      <c r="J11" s="196">
        <v>45017</v>
      </c>
      <c r="K11" s="157">
        <v>5558.01</v>
      </c>
    </row>
    <row r="12" spans="1:11" ht="15" thickBot="1" x14ac:dyDescent="0.35">
      <c r="A12" s="24">
        <v>45047</v>
      </c>
      <c r="B12" s="157">
        <v>192309.12</v>
      </c>
      <c r="D12" s="24">
        <v>45047</v>
      </c>
      <c r="E12" s="160">
        <v>162216.93</v>
      </c>
      <c r="G12" s="196">
        <v>45047</v>
      </c>
      <c r="H12" s="157">
        <v>367664.46</v>
      </c>
      <c r="J12" s="196">
        <v>45047</v>
      </c>
      <c r="K12" s="157">
        <v>5378.02</v>
      </c>
    </row>
    <row r="13" spans="1:11" ht="15" thickBot="1" x14ac:dyDescent="0.35">
      <c r="A13" s="25">
        <v>45078</v>
      </c>
      <c r="B13" s="162">
        <v>198240.05</v>
      </c>
      <c r="D13" s="25">
        <v>45078</v>
      </c>
      <c r="E13" s="160">
        <v>113345.57</v>
      </c>
      <c r="G13" s="196">
        <v>45078</v>
      </c>
      <c r="H13" s="157">
        <v>360909.68</v>
      </c>
      <c r="J13" s="196">
        <v>45078</v>
      </c>
      <c r="K13" s="175">
        <v>6459.11</v>
      </c>
    </row>
    <row r="14" spans="1:11" ht="16.2" thickBot="1" x14ac:dyDescent="0.35">
      <c r="A14" s="146">
        <v>45108</v>
      </c>
      <c r="B14" s="202">
        <v>200679.52</v>
      </c>
      <c r="D14" s="146">
        <v>45108</v>
      </c>
      <c r="E14" s="160">
        <v>125582.37</v>
      </c>
      <c r="G14" s="206">
        <v>45108</v>
      </c>
      <c r="H14" s="157">
        <v>398345.71</v>
      </c>
      <c r="J14" s="206">
        <v>45108</v>
      </c>
      <c r="K14" s="157">
        <v>6850.58</v>
      </c>
    </row>
    <row r="15" spans="1:11" ht="16.2" thickBot="1" x14ac:dyDescent="0.35">
      <c r="A15" s="149">
        <v>45139</v>
      </c>
      <c r="B15" s="203">
        <v>226112.85</v>
      </c>
      <c r="D15" s="149">
        <v>45139</v>
      </c>
      <c r="E15" s="160">
        <v>136449.21</v>
      </c>
      <c r="G15" s="206">
        <v>45139</v>
      </c>
      <c r="H15" s="157">
        <v>488418.01</v>
      </c>
      <c r="J15" s="206">
        <v>45139</v>
      </c>
      <c r="K15" s="175">
        <v>7152.71</v>
      </c>
    </row>
    <row r="16" spans="1:11" ht="16.2" thickBot="1" x14ac:dyDescent="0.35">
      <c r="A16" s="146">
        <v>45170</v>
      </c>
      <c r="B16" s="202">
        <v>9069.6</v>
      </c>
      <c r="D16" s="146">
        <v>45170</v>
      </c>
      <c r="E16" s="160">
        <v>111098.58</v>
      </c>
      <c r="G16" s="206">
        <v>45170</v>
      </c>
      <c r="H16" s="157">
        <v>457891.88</v>
      </c>
      <c r="J16" s="206">
        <v>45170</v>
      </c>
      <c r="K16" s="157">
        <v>7152.71</v>
      </c>
    </row>
    <row r="17" spans="1:11" ht="16.2" thickBot="1" x14ac:dyDescent="0.35">
      <c r="A17" s="149">
        <v>45200</v>
      </c>
      <c r="B17" s="203">
        <v>226112.85</v>
      </c>
      <c r="D17" s="149">
        <v>45200</v>
      </c>
      <c r="E17" s="160">
        <v>90769.68</v>
      </c>
      <c r="G17" s="206">
        <v>45200</v>
      </c>
      <c r="H17" s="157">
        <v>457891.88</v>
      </c>
      <c r="J17" s="206">
        <v>45200</v>
      </c>
      <c r="K17" s="175">
        <v>6921.08</v>
      </c>
    </row>
    <row r="18" spans="1:11" ht="16.2" thickBot="1" x14ac:dyDescent="0.35">
      <c r="A18" s="146">
        <v>45231</v>
      </c>
      <c r="B18" s="202">
        <v>226112.85</v>
      </c>
      <c r="D18" s="146">
        <v>45231</v>
      </c>
      <c r="E18" s="160">
        <v>93090.97</v>
      </c>
      <c r="G18" s="206">
        <v>45231</v>
      </c>
      <c r="H18" s="157">
        <v>473154.95</v>
      </c>
      <c r="J18" s="206">
        <v>45231</v>
      </c>
      <c r="K18" s="157">
        <v>7152.71</v>
      </c>
    </row>
    <row r="19" spans="1:11" ht="16.2" thickBot="1" x14ac:dyDescent="0.35">
      <c r="A19" s="149">
        <v>45261</v>
      </c>
      <c r="B19" s="203">
        <v>226469.65</v>
      </c>
      <c r="D19" s="149">
        <v>45261</v>
      </c>
      <c r="E19" s="160">
        <v>84292.02</v>
      </c>
      <c r="G19" s="206">
        <v>45261</v>
      </c>
      <c r="H19" s="157">
        <v>457891.88</v>
      </c>
      <c r="J19" s="206">
        <v>45261</v>
      </c>
      <c r="K19" s="175">
        <v>6921.08</v>
      </c>
    </row>
    <row r="20" spans="1:11" ht="16.2" thickBot="1" x14ac:dyDescent="0.35">
      <c r="A20" s="146">
        <v>45292</v>
      </c>
      <c r="B20" s="202">
        <v>226112.85</v>
      </c>
      <c r="D20" s="146">
        <v>45292</v>
      </c>
      <c r="E20" s="160">
        <v>95178.14</v>
      </c>
      <c r="G20" s="206">
        <v>45292</v>
      </c>
      <c r="H20" s="157">
        <v>473154.95</v>
      </c>
      <c r="J20" s="206">
        <v>45292</v>
      </c>
      <c r="K20" s="157">
        <v>7152.71</v>
      </c>
    </row>
    <row r="21" spans="1:11" ht="16.2" thickBot="1" x14ac:dyDescent="0.35">
      <c r="A21" s="146">
        <v>45323</v>
      </c>
      <c r="B21" s="202">
        <v>226112.85</v>
      </c>
      <c r="D21" s="146">
        <v>45323</v>
      </c>
      <c r="E21" s="160">
        <v>94759.56</v>
      </c>
      <c r="G21" s="206">
        <v>45323</v>
      </c>
      <c r="H21" s="157">
        <v>473154.95</v>
      </c>
      <c r="J21" s="206">
        <v>45323</v>
      </c>
      <c r="K21" s="157">
        <v>7152.71</v>
      </c>
    </row>
    <row r="22" spans="1:11" ht="16.2" thickBot="1" x14ac:dyDescent="0.35">
      <c r="A22" s="149">
        <v>45352</v>
      </c>
      <c r="B22" s="203">
        <v>211677.75</v>
      </c>
      <c r="D22" s="149">
        <v>45352</v>
      </c>
      <c r="E22" s="160">
        <v>89932.05</v>
      </c>
      <c r="G22" s="206">
        <v>45352</v>
      </c>
      <c r="H22" s="198">
        <v>442628.82</v>
      </c>
      <c r="J22" s="206">
        <v>45352</v>
      </c>
      <c r="K22" s="198">
        <v>6691</v>
      </c>
    </row>
    <row r="23" spans="1:11" ht="16.2" thickBot="1" x14ac:dyDescent="0.35">
      <c r="A23" s="146">
        <v>45383</v>
      </c>
      <c r="B23" s="202">
        <v>226112.85</v>
      </c>
      <c r="D23" s="146">
        <v>45383</v>
      </c>
      <c r="E23" s="160">
        <v>99152.47</v>
      </c>
      <c r="G23" s="206">
        <v>45383</v>
      </c>
      <c r="H23" s="198">
        <v>473154.95</v>
      </c>
      <c r="J23" s="206">
        <v>45383</v>
      </c>
      <c r="K23" s="198">
        <v>7152.71</v>
      </c>
    </row>
    <row r="24" spans="1:11" ht="16.2" thickBot="1" x14ac:dyDescent="0.35">
      <c r="A24" s="149">
        <v>45413</v>
      </c>
      <c r="B24" s="202">
        <v>218895.3</v>
      </c>
      <c r="D24" s="149">
        <v>45413</v>
      </c>
      <c r="E24" s="160">
        <v>94527.360000000001</v>
      </c>
      <c r="G24" s="206">
        <v>45413</v>
      </c>
      <c r="H24" s="198">
        <v>457891.88</v>
      </c>
      <c r="J24" s="206">
        <v>45413</v>
      </c>
      <c r="K24" s="198">
        <v>6921.08</v>
      </c>
    </row>
    <row r="25" spans="1:11" ht="16.2" thickBot="1" x14ac:dyDescent="0.35">
      <c r="A25" s="146">
        <v>45444</v>
      </c>
      <c r="B25" s="202">
        <v>233330.4</v>
      </c>
      <c r="D25" s="146">
        <v>45444</v>
      </c>
      <c r="E25" s="160">
        <v>129020.13</v>
      </c>
      <c r="G25" s="206">
        <v>45444</v>
      </c>
      <c r="H25" s="198">
        <v>473154.95</v>
      </c>
      <c r="J25" s="206">
        <v>45444</v>
      </c>
      <c r="K25" s="198">
        <v>7152.71</v>
      </c>
    </row>
    <row r="26" spans="1:11" ht="15" thickBot="1" x14ac:dyDescent="0.35">
      <c r="A26" s="40">
        <v>45501</v>
      </c>
      <c r="B26" s="191">
        <v>224675.87</v>
      </c>
      <c r="D26" s="40">
        <v>45501</v>
      </c>
      <c r="E26" s="191">
        <v>150836.26</v>
      </c>
      <c r="G26" s="196">
        <v>45501</v>
      </c>
      <c r="H26" s="198">
        <v>467596.98</v>
      </c>
      <c r="J26" s="196">
        <v>45501</v>
      </c>
      <c r="K26" s="197">
        <v>7744.28</v>
      </c>
    </row>
    <row r="27" spans="1:11" ht="15" thickBot="1" x14ac:dyDescent="0.35">
      <c r="A27" s="40">
        <v>45505</v>
      </c>
      <c r="B27" s="191">
        <v>254873.98</v>
      </c>
      <c r="D27" s="40">
        <v>45505</v>
      </c>
      <c r="E27" s="191">
        <v>167575.67000000001</v>
      </c>
      <c r="G27" s="204">
        <v>45505</v>
      </c>
      <c r="H27" s="205">
        <v>550530.6</v>
      </c>
      <c r="J27" s="204">
        <v>45505</v>
      </c>
      <c r="K27" s="197">
        <v>8062.33</v>
      </c>
    </row>
    <row r="28" spans="1:11" ht="15" thickBot="1" x14ac:dyDescent="0.35">
      <c r="A28" s="40">
        <v>45536</v>
      </c>
      <c r="B28" s="191">
        <v>254873.98</v>
      </c>
      <c r="D28" s="40">
        <v>45536</v>
      </c>
      <c r="E28" s="191">
        <v>130918.16</v>
      </c>
      <c r="G28" s="40">
        <v>45536</v>
      </c>
      <c r="H28" s="197">
        <v>516122.44</v>
      </c>
      <c r="J28" s="40">
        <v>45536</v>
      </c>
      <c r="K28" s="197">
        <v>8062.33</v>
      </c>
    </row>
    <row r="29" spans="1:11" ht="15" thickBot="1" x14ac:dyDescent="0.35">
      <c r="A29" s="40">
        <v>45566</v>
      </c>
      <c r="B29" s="191">
        <v>246738.36</v>
      </c>
      <c r="D29" s="40">
        <v>45566</v>
      </c>
      <c r="E29" s="191">
        <v>105398.82</v>
      </c>
      <c r="G29" s="40">
        <v>45566</v>
      </c>
      <c r="H29" s="197">
        <v>516122.44</v>
      </c>
      <c r="J29" s="40">
        <v>45566</v>
      </c>
      <c r="K29" s="197">
        <v>7801.24</v>
      </c>
    </row>
    <row r="30" spans="1:11" ht="15" thickBot="1" x14ac:dyDescent="0.35">
      <c r="A30" s="40">
        <v>45597</v>
      </c>
      <c r="B30" s="191">
        <v>254873.98</v>
      </c>
      <c r="D30" s="40">
        <v>45597</v>
      </c>
      <c r="E30" s="191">
        <v>105847.58</v>
      </c>
      <c r="G30" s="40">
        <v>45597</v>
      </c>
      <c r="H30" s="197">
        <v>533326.52</v>
      </c>
      <c r="J30" s="40">
        <v>45597</v>
      </c>
      <c r="K30" s="197">
        <v>8062.33</v>
      </c>
    </row>
    <row r="31" spans="1:11" ht="15" thickBot="1" x14ac:dyDescent="0.35">
      <c r="A31" s="66">
        <v>45627</v>
      </c>
      <c r="D31" s="66">
        <v>45627</v>
      </c>
      <c r="G31" s="66">
        <v>45627</v>
      </c>
      <c r="J31" s="66">
        <v>45627</v>
      </c>
    </row>
    <row r="32" spans="1:11" ht="15" thickBot="1" x14ac:dyDescent="0.35">
      <c r="A32" s="66">
        <v>45658</v>
      </c>
      <c r="D32" s="66">
        <v>45658</v>
      </c>
      <c r="G32" s="66">
        <v>45658</v>
      </c>
      <c r="J32" s="66">
        <v>45658</v>
      </c>
    </row>
    <row r="33" spans="1:10" ht="15" thickBot="1" x14ac:dyDescent="0.35">
      <c r="A33" s="66">
        <v>45689</v>
      </c>
      <c r="D33" s="66">
        <v>45689</v>
      </c>
      <c r="G33" s="66">
        <v>45689</v>
      </c>
      <c r="J33" s="66">
        <v>45689</v>
      </c>
    </row>
    <row r="34" spans="1:10" ht="15" thickBot="1" x14ac:dyDescent="0.35">
      <c r="A34" s="66">
        <v>45717</v>
      </c>
      <c r="D34" s="66">
        <v>45717</v>
      </c>
      <c r="G34" s="66">
        <v>45717</v>
      </c>
      <c r="J34" s="66">
        <v>45717</v>
      </c>
    </row>
    <row r="35" spans="1:10" ht="15" thickBot="1" x14ac:dyDescent="0.35">
      <c r="A35" s="66">
        <v>45748</v>
      </c>
      <c r="D35" s="66">
        <v>45748</v>
      </c>
      <c r="G35" s="66">
        <v>45748</v>
      </c>
      <c r="J35" s="66">
        <v>45748</v>
      </c>
    </row>
    <row r="36" spans="1:10" ht="15" thickBot="1" x14ac:dyDescent="0.35">
      <c r="A36" s="66">
        <v>45778</v>
      </c>
      <c r="D36" s="66">
        <v>45778</v>
      </c>
      <c r="G36" s="66">
        <v>45778</v>
      </c>
      <c r="J36" s="66">
        <v>45778</v>
      </c>
    </row>
    <row r="37" spans="1:10" x14ac:dyDescent="0.3">
      <c r="A37" s="66">
        <v>45809</v>
      </c>
      <c r="D37" s="66">
        <v>45809</v>
      </c>
      <c r="G37" s="66">
        <v>45809</v>
      </c>
      <c r="J37" s="66">
        <v>45809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0C10-085F-46BC-991A-C600616DBA21}">
  <dimension ref="A1:E36"/>
  <sheetViews>
    <sheetView topLeftCell="A22" workbookViewId="0">
      <selection activeCell="B30" sqref="B30:B36"/>
    </sheetView>
  </sheetViews>
  <sheetFormatPr defaultRowHeight="14.4" x14ac:dyDescent="0.3"/>
  <cols>
    <col min="1" max="1" width="12.5546875" bestFit="1" customWidth="1"/>
    <col min="2" max="3" width="12.777343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1862030.0550000002</v>
      </c>
    </row>
    <row r="3" spans="1:5" x14ac:dyDescent="0.3">
      <c r="A3" s="164">
        <v>44805</v>
      </c>
      <c r="B3" s="39">
        <v>1292769.57</v>
      </c>
    </row>
    <row r="4" spans="1:5" x14ac:dyDescent="0.3">
      <c r="A4" s="164">
        <v>44835</v>
      </c>
      <c r="B4" s="39">
        <v>1367633.36</v>
      </c>
    </row>
    <row r="5" spans="1:5" x14ac:dyDescent="0.3">
      <c r="A5" s="164">
        <v>44866</v>
      </c>
      <c r="B5" s="39">
        <v>1323999.3899999999</v>
      </c>
    </row>
    <row r="6" spans="1:5" x14ac:dyDescent="0.3">
      <c r="A6" s="164">
        <v>44896</v>
      </c>
      <c r="B6" s="39">
        <v>1337845.1200000001</v>
      </c>
    </row>
    <row r="7" spans="1:5" x14ac:dyDescent="0.3">
      <c r="A7" s="164">
        <v>44927</v>
      </c>
      <c r="B7" s="39">
        <v>1370942.86</v>
      </c>
    </row>
    <row r="8" spans="1:5" x14ac:dyDescent="0.3">
      <c r="A8" s="164">
        <v>44958</v>
      </c>
      <c r="B8" s="39">
        <v>1197886.95</v>
      </c>
    </row>
    <row r="9" spans="1:5" x14ac:dyDescent="0.3">
      <c r="A9" s="164">
        <v>44986</v>
      </c>
      <c r="B9" s="39">
        <v>1325097.45</v>
      </c>
    </row>
    <row r="10" spans="1:5" x14ac:dyDescent="0.3">
      <c r="A10" s="164">
        <v>45017</v>
      </c>
      <c r="B10" s="39">
        <v>1203221.95</v>
      </c>
    </row>
    <row r="11" spans="1:5" x14ac:dyDescent="0.3">
      <c r="A11" s="164">
        <v>45047</v>
      </c>
      <c r="B11" s="39">
        <v>1614363.65</v>
      </c>
    </row>
    <row r="12" spans="1:5" x14ac:dyDescent="0.3">
      <c r="A12" s="164">
        <v>45078</v>
      </c>
      <c r="B12" s="39">
        <v>1701108.08</v>
      </c>
    </row>
    <row r="13" spans="1:5" x14ac:dyDescent="0.3">
      <c r="A13" s="164">
        <v>45108</v>
      </c>
      <c r="B13" s="39">
        <v>2040526.34</v>
      </c>
    </row>
    <row r="14" spans="1:5" x14ac:dyDescent="0.3">
      <c r="A14" s="164">
        <v>45139</v>
      </c>
      <c r="B14" s="39">
        <v>2169130.79</v>
      </c>
    </row>
    <row r="15" spans="1:5" x14ac:dyDescent="0.3">
      <c r="A15" s="164">
        <v>45170</v>
      </c>
      <c r="B15" s="39">
        <v>1814162.73</v>
      </c>
    </row>
    <row r="16" spans="1:5" x14ac:dyDescent="0.3">
      <c r="A16" s="164">
        <v>45200</v>
      </c>
      <c r="B16" s="39">
        <v>1508022.87</v>
      </c>
    </row>
    <row r="17" spans="1:5" x14ac:dyDescent="0.3">
      <c r="A17" s="164">
        <v>45231</v>
      </c>
      <c r="B17" s="39">
        <v>1607158.78</v>
      </c>
    </row>
    <row r="18" spans="1:5" x14ac:dyDescent="0.3">
      <c r="A18" s="164">
        <v>45261</v>
      </c>
      <c r="B18" s="39">
        <v>1491775.71</v>
      </c>
    </row>
    <row r="19" spans="1:5" x14ac:dyDescent="0.3">
      <c r="A19" s="164">
        <v>45292</v>
      </c>
      <c r="B19" s="39">
        <v>1670179.93</v>
      </c>
    </row>
    <row r="20" spans="1:5" x14ac:dyDescent="0.3">
      <c r="A20" s="164">
        <v>45323</v>
      </c>
      <c r="B20" s="39">
        <v>1528943.38</v>
      </c>
    </row>
    <row r="21" spans="1:5" x14ac:dyDescent="0.3">
      <c r="A21" s="164">
        <v>45352</v>
      </c>
      <c r="B21" s="39">
        <v>1489208.27</v>
      </c>
    </row>
    <row r="22" spans="1:5" x14ac:dyDescent="0.3">
      <c r="A22" s="164">
        <v>45383</v>
      </c>
      <c r="B22" s="39">
        <v>1566718.19</v>
      </c>
    </row>
    <row r="23" spans="1:5" x14ac:dyDescent="0.3">
      <c r="A23" s="164">
        <v>45413</v>
      </c>
      <c r="B23" s="39">
        <v>1591319.64</v>
      </c>
    </row>
    <row r="24" spans="1:5" x14ac:dyDescent="0.3">
      <c r="A24" s="164">
        <v>45444</v>
      </c>
      <c r="B24" s="39">
        <v>2097673.12</v>
      </c>
    </row>
    <row r="25" spans="1:5" x14ac:dyDescent="0.3">
      <c r="A25" s="164">
        <v>45474</v>
      </c>
      <c r="B25" s="39">
        <v>2583645.4500000002</v>
      </c>
    </row>
    <row r="26" spans="1:5" x14ac:dyDescent="0.3">
      <c r="A26" s="164">
        <v>45505</v>
      </c>
      <c r="B26" s="39">
        <v>2951042.5</v>
      </c>
    </row>
    <row r="27" spans="1:5" x14ac:dyDescent="0.3">
      <c r="A27" s="164">
        <v>45536</v>
      </c>
      <c r="B27" s="39">
        <v>2385073.5699999998</v>
      </c>
    </row>
    <row r="28" spans="1:5" x14ac:dyDescent="0.3">
      <c r="A28" s="164">
        <v>45566</v>
      </c>
      <c r="B28" s="39">
        <v>1765172.1</v>
      </c>
    </row>
    <row r="29" spans="1:5" x14ac:dyDescent="0.3">
      <c r="A29" s="164">
        <v>45597</v>
      </c>
      <c r="B29" s="39">
        <v>1873528.83</v>
      </c>
      <c r="C29" s="39">
        <v>1873528.83</v>
      </c>
      <c r="D29" s="39">
        <v>1873528.83</v>
      </c>
      <c r="E29" s="39">
        <v>1873528.83</v>
      </c>
    </row>
    <row r="30" spans="1:5" x14ac:dyDescent="0.3">
      <c r="A30" s="164">
        <v>45628</v>
      </c>
      <c r="B30" s="39">
        <v>1905220.1983916874</v>
      </c>
      <c r="C30" s="39">
        <f t="shared" ref="C30:C36" si="0">_xlfn.FORECAST.ETS(A30,$B$2:$B$29,$A$2:$A$29,1,1)</f>
        <v>1905220.1983916874</v>
      </c>
      <c r="D30" s="39">
        <f t="shared" ref="D30:D36" si="1">C30-_xlfn.FORECAST.ETS.CONFINT(A30,$B$2:$B$29,$A$2:$A$29,0.95,1,1)</f>
        <v>1246200.2109340006</v>
      </c>
      <c r="E30" s="39">
        <f t="shared" ref="E30:E36" si="2">C30+_xlfn.FORECAST.ETS.CONFINT(A30,$B$2:$B$29,$A$2:$A$29,0.95,1,1)</f>
        <v>2564240.1858493742</v>
      </c>
    </row>
    <row r="31" spans="1:5" x14ac:dyDescent="0.3">
      <c r="A31" s="164">
        <v>45659</v>
      </c>
      <c r="B31" s="39">
        <v>1935921.2115211347</v>
      </c>
      <c r="C31" s="39">
        <f t="shared" si="0"/>
        <v>1935921.2115211347</v>
      </c>
      <c r="D31" s="39">
        <f t="shared" si="1"/>
        <v>1011662.1040552153</v>
      </c>
      <c r="E31" s="39">
        <f t="shared" si="2"/>
        <v>2860180.3189870543</v>
      </c>
    </row>
    <row r="32" spans="1:5" x14ac:dyDescent="0.3">
      <c r="A32" s="164">
        <v>45690</v>
      </c>
      <c r="B32" s="39">
        <v>1966728.3341429648</v>
      </c>
      <c r="C32" s="39">
        <f t="shared" si="0"/>
        <v>1966728.3341429648</v>
      </c>
      <c r="D32" s="39">
        <f t="shared" si="1"/>
        <v>836905.0134982192</v>
      </c>
      <c r="E32" s="39">
        <f t="shared" si="2"/>
        <v>3096551.6547877104</v>
      </c>
    </row>
    <row r="33" spans="1:5" x14ac:dyDescent="0.3">
      <c r="A33" s="164">
        <v>45721</v>
      </c>
      <c r="B33" s="39">
        <v>2000294.3035667499</v>
      </c>
      <c r="C33" s="39">
        <f t="shared" si="0"/>
        <v>2000294.3035667499</v>
      </c>
      <c r="D33" s="39">
        <f t="shared" si="1"/>
        <v>682130.37949260604</v>
      </c>
      <c r="E33" s="39">
        <f t="shared" si="2"/>
        <v>3318458.2276408938</v>
      </c>
    </row>
    <row r="34" spans="1:5" x14ac:dyDescent="0.3">
      <c r="A34" s="164">
        <v>45752</v>
      </c>
      <c r="B34" s="39">
        <v>2031127.3640644958</v>
      </c>
      <c r="C34" s="39">
        <f t="shared" si="0"/>
        <v>2031127.3640644958</v>
      </c>
      <c r="D34" s="39">
        <f t="shared" si="1"/>
        <v>560776.43982807198</v>
      </c>
      <c r="E34" s="39">
        <f t="shared" si="2"/>
        <v>3501478.2883009193</v>
      </c>
    </row>
    <row r="35" spans="1:5" x14ac:dyDescent="0.3">
      <c r="A35" s="164">
        <v>45783</v>
      </c>
      <c r="B35" s="39">
        <v>2062686.6850878845</v>
      </c>
      <c r="C35" s="39">
        <f t="shared" si="0"/>
        <v>2062686.6850878845</v>
      </c>
      <c r="D35" s="39">
        <f t="shared" si="1"/>
        <v>451106.14555085497</v>
      </c>
      <c r="E35" s="39">
        <f t="shared" si="2"/>
        <v>3674267.2246249141</v>
      </c>
    </row>
    <row r="36" spans="1:5" x14ac:dyDescent="0.3">
      <c r="A36" s="164">
        <v>45814</v>
      </c>
      <c r="B36" s="39">
        <v>2093552.7574277052</v>
      </c>
      <c r="C36" s="39">
        <f t="shared" si="0"/>
        <v>2093552.7574277052</v>
      </c>
      <c r="D36" s="39">
        <f t="shared" si="1"/>
        <v>354660.19007720239</v>
      </c>
      <c r="E36" s="39">
        <f t="shared" si="2"/>
        <v>3832445.324778208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C6E0-D11C-4053-BA5E-3C9C2FE776E0}">
  <dimension ref="A1:E36"/>
  <sheetViews>
    <sheetView topLeftCell="A19" workbookViewId="0">
      <selection sqref="A1:E36"/>
    </sheetView>
  </sheetViews>
  <sheetFormatPr defaultRowHeight="14.4" x14ac:dyDescent="0.3"/>
  <cols>
    <col min="1" max="1" width="12.5546875" bestFit="1" customWidth="1"/>
    <col min="2" max="3" width="11.218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180443.715</v>
      </c>
    </row>
    <row r="3" spans="1:5" x14ac:dyDescent="0.3">
      <c r="A3" s="164">
        <v>44805</v>
      </c>
      <c r="B3" s="39">
        <v>123004.43</v>
      </c>
    </row>
    <row r="4" spans="1:5" x14ac:dyDescent="0.3">
      <c r="A4" s="164">
        <v>44835</v>
      </c>
      <c r="B4" s="39">
        <v>120148.05</v>
      </c>
    </row>
    <row r="5" spans="1:5" x14ac:dyDescent="0.3">
      <c r="A5" s="164">
        <v>44866</v>
      </c>
      <c r="B5" s="39">
        <v>118978.53</v>
      </c>
    </row>
    <row r="6" spans="1:5" x14ac:dyDescent="0.3">
      <c r="A6" s="164">
        <v>44896</v>
      </c>
      <c r="B6" s="39">
        <v>138663.49</v>
      </c>
    </row>
    <row r="7" spans="1:5" x14ac:dyDescent="0.3">
      <c r="A7" s="164">
        <v>44927</v>
      </c>
      <c r="B7" s="39">
        <v>125906.76</v>
      </c>
    </row>
    <row r="8" spans="1:5" x14ac:dyDescent="0.3">
      <c r="A8" s="164">
        <v>44958</v>
      </c>
      <c r="B8" s="39">
        <v>116840.05</v>
      </c>
    </row>
    <row r="9" spans="1:5" x14ac:dyDescent="0.3">
      <c r="A9" s="164">
        <v>44986</v>
      </c>
      <c r="B9" s="39">
        <v>132329.51999999999</v>
      </c>
    </row>
    <row r="10" spans="1:5" x14ac:dyDescent="0.3">
      <c r="A10" s="164">
        <v>45017</v>
      </c>
      <c r="B10" s="39">
        <v>130717.9</v>
      </c>
    </row>
    <row r="11" spans="1:5" x14ac:dyDescent="0.3">
      <c r="A11" s="164">
        <v>45047</v>
      </c>
      <c r="B11" s="39">
        <v>162216.93</v>
      </c>
    </row>
    <row r="12" spans="1:5" x14ac:dyDescent="0.3">
      <c r="A12" s="164">
        <v>45078</v>
      </c>
      <c r="B12" s="39">
        <v>113345.57</v>
      </c>
    </row>
    <row r="13" spans="1:5" x14ac:dyDescent="0.3">
      <c r="A13" s="164">
        <v>45108</v>
      </c>
      <c r="B13" s="39">
        <v>125582.37</v>
      </c>
    </row>
    <row r="14" spans="1:5" x14ac:dyDescent="0.3">
      <c r="A14" s="164">
        <v>45139</v>
      </c>
      <c r="B14" s="39">
        <v>136449.21</v>
      </c>
    </row>
    <row r="15" spans="1:5" x14ac:dyDescent="0.3">
      <c r="A15" s="164">
        <v>45170</v>
      </c>
      <c r="B15" s="39">
        <v>111098.58</v>
      </c>
    </row>
    <row r="16" spans="1:5" x14ac:dyDescent="0.3">
      <c r="A16" s="164">
        <v>45200</v>
      </c>
      <c r="B16" s="39">
        <v>90769.68</v>
      </c>
    </row>
    <row r="17" spans="1:5" x14ac:dyDescent="0.3">
      <c r="A17" s="164">
        <v>45231</v>
      </c>
      <c r="B17" s="39">
        <v>93090.97</v>
      </c>
    </row>
    <row r="18" spans="1:5" x14ac:dyDescent="0.3">
      <c r="A18" s="164">
        <v>45261</v>
      </c>
      <c r="B18" s="39">
        <v>84292.02</v>
      </c>
    </row>
    <row r="19" spans="1:5" x14ac:dyDescent="0.3">
      <c r="A19" s="164">
        <v>45292</v>
      </c>
      <c r="B19" s="39">
        <v>95178.14</v>
      </c>
    </row>
    <row r="20" spans="1:5" x14ac:dyDescent="0.3">
      <c r="A20" s="164">
        <v>45323</v>
      </c>
      <c r="B20" s="39">
        <v>94759.56</v>
      </c>
    </row>
    <row r="21" spans="1:5" x14ac:dyDescent="0.3">
      <c r="A21" s="164">
        <v>45352</v>
      </c>
      <c r="B21" s="39">
        <v>89932.05</v>
      </c>
    </row>
    <row r="22" spans="1:5" x14ac:dyDescent="0.3">
      <c r="A22" s="164">
        <v>45383</v>
      </c>
      <c r="B22" s="39">
        <v>99152.47</v>
      </c>
    </row>
    <row r="23" spans="1:5" x14ac:dyDescent="0.3">
      <c r="A23" s="164">
        <v>45413</v>
      </c>
      <c r="B23" s="39">
        <v>94527.360000000001</v>
      </c>
    </row>
    <row r="24" spans="1:5" x14ac:dyDescent="0.3">
      <c r="A24" s="164">
        <v>45444</v>
      </c>
      <c r="B24" s="39">
        <v>129020.13</v>
      </c>
    </row>
    <row r="25" spans="1:5" x14ac:dyDescent="0.3">
      <c r="A25" s="164">
        <v>45474</v>
      </c>
      <c r="B25" s="39">
        <v>150836.26</v>
      </c>
    </row>
    <row r="26" spans="1:5" x14ac:dyDescent="0.3">
      <c r="A26" s="164">
        <v>45505</v>
      </c>
      <c r="B26" s="39">
        <v>167575.67000000001</v>
      </c>
    </row>
    <row r="27" spans="1:5" x14ac:dyDescent="0.3">
      <c r="A27" s="164">
        <v>45536</v>
      </c>
      <c r="B27" s="39">
        <v>130918.16</v>
      </c>
    </row>
    <row r="28" spans="1:5" x14ac:dyDescent="0.3">
      <c r="A28" s="164">
        <v>45566</v>
      </c>
      <c r="B28" s="39">
        <v>105398.82</v>
      </c>
    </row>
    <row r="29" spans="1:5" x14ac:dyDescent="0.3">
      <c r="A29" s="164">
        <v>45597</v>
      </c>
      <c r="B29" s="39">
        <v>105847.58</v>
      </c>
      <c r="C29" s="39">
        <v>105847.58</v>
      </c>
      <c r="D29" s="39">
        <v>105847.58</v>
      </c>
      <c r="E29" s="39">
        <v>105847.58</v>
      </c>
    </row>
    <row r="30" spans="1:5" x14ac:dyDescent="0.3">
      <c r="A30" s="164">
        <v>45628</v>
      </c>
      <c r="B30" s="39">
        <v>157858.28130849914</v>
      </c>
      <c r="C30" s="39">
        <f t="shared" ref="C30:C36" si="0">_xlfn.FORECAST.ETS(A30,$B$2:$B$29,$A$2:$A$29,1,1)</f>
        <v>104941.44342779455</v>
      </c>
      <c r="D30" s="39">
        <f t="shared" ref="D30:D36" si="1">C30-_xlfn.FORECAST.ETS.CONFINT(A30,$B$2:$B$29,$A$2:$A$29,0.95,1,1)</f>
        <v>52024.605547089966</v>
      </c>
      <c r="E30" s="39">
        <f t="shared" ref="E30:E36" si="2">C30+_xlfn.FORECAST.ETS.CONFINT(A30,$B$2:$B$29,$A$2:$A$29,0.95,1,1)</f>
        <v>157858.28130849914</v>
      </c>
    </row>
    <row r="31" spans="1:5" x14ac:dyDescent="0.3">
      <c r="A31" s="164">
        <v>45659</v>
      </c>
      <c r="B31" s="39">
        <v>163203.18219318221</v>
      </c>
      <c r="C31" s="39">
        <f t="shared" si="0"/>
        <v>104063.62362347053</v>
      </c>
      <c r="D31" s="39">
        <f t="shared" si="1"/>
        <v>44924.065053758859</v>
      </c>
      <c r="E31" s="39">
        <f t="shared" si="2"/>
        <v>163203.18219318221</v>
      </c>
    </row>
    <row r="32" spans="1:5" x14ac:dyDescent="0.3">
      <c r="A32" s="164">
        <v>45690</v>
      </c>
      <c r="B32" s="39">
        <v>167990.16322952099</v>
      </c>
      <c r="C32" s="39">
        <f t="shared" si="0"/>
        <v>103182.76987973064</v>
      </c>
      <c r="D32" s="39">
        <f t="shared" si="1"/>
        <v>38375.376529940295</v>
      </c>
      <c r="E32" s="39">
        <f t="shared" si="2"/>
        <v>167990.16322952099</v>
      </c>
    </row>
    <row r="33" spans="1:5" x14ac:dyDescent="0.3">
      <c r="A33" s="164">
        <v>45721</v>
      </c>
      <c r="B33" s="39">
        <v>172712.21646950347</v>
      </c>
      <c r="C33" s="39">
        <f t="shared" si="0"/>
        <v>102223.03371117821</v>
      </c>
      <c r="D33" s="39">
        <f t="shared" si="1"/>
        <v>31733.850952852954</v>
      </c>
      <c r="E33" s="39">
        <f t="shared" si="2"/>
        <v>172712.21646950347</v>
      </c>
    </row>
    <row r="34" spans="1:5" x14ac:dyDescent="0.3">
      <c r="A34" s="164">
        <v>45752</v>
      </c>
      <c r="B34" s="39">
        <v>176692.04475903691</v>
      </c>
      <c r="C34" s="39">
        <f t="shared" si="0"/>
        <v>101341.43833780334</v>
      </c>
      <c r="D34" s="39">
        <f t="shared" si="1"/>
        <v>25990.831916569776</v>
      </c>
      <c r="E34" s="39">
        <f t="shared" si="2"/>
        <v>176692.04475903691</v>
      </c>
    </row>
    <row r="35" spans="1:5" x14ac:dyDescent="0.3">
      <c r="A35" s="164">
        <v>45783</v>
      </c>
      <c r="B35" s="39">
        <v>180478.78216758498</v>
      </c>
      <c r="C35" s="39">
        <f t="shared" si="0"/>
        <v>100439.07733464874</v>
      </c>
      <c r="D35" s="39">
        <f t="shared" si="1"/>
        <v>20399.372501712511</v>
      </c>
      <c r="E35" s="39">
        <f t="shared" si="2"/>
        <v>180478.78216758498</v>
      </c>
    </row>
    <row r="36" spans="1:5" x14ac:dyDescent="0.3">
      <c r="A36" s="164">
        <v>45814</v>
      </c>
      <c r="B36" s="39">
        <v>183947.52359871805</v>
      </c>
      <c r="C36" s="39">
        <f t="shared" si="0"/>
        <v>99556.538069011149</v>
      </c>
      <c r="D36" s="39">
        <f t="shared" si="1"/>
        <v>15165.552539304263</v>
      </c>
      <c r="E36" s="39">
        <f t="shared" si="2"/>
        <v>183947.52359871805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2C8F-1077-421B-A37A-50B803236652}">
  <dimension ref="A1:E37"/>
  <sheetViews>
    <sheetView workbookViewId="0"/>
  </sheetViews>
  <sheetFormatPr defaultRowHeight="14.4" x14ac:dyDescent="0.3"/>
  <cols>
    <col min="1" max="1" width="12.5546875" bestFit="1" customWidth="1"/>
    <col min="2" max="3" width="11.21875" bestFit="1" customWidth="1"/>
    <col min="4" max="4" width="23.5546875" customWidth="1"/>
    <col min="5" max="5" width="23.77734375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401107.68</v>
      </c>
    </row>
    <row r="3" spans="1:5" x14ac:dyDescent="0.3">
      <c r="A3" s="164">
        <v>44805</v>
      </c>
      <c r="B3" s="39">
        <v>378209.18</v>
      </c>
    </row>
    <row r="4" spans="1:5" x14ac:dyDescent="0.3">
      <c r="A4" s="164">
        <v>44835</v>
      </c>
      <c r="B4" s="39">
        <v>367856.03</v>
      </c>
    </row>
    <row r="5" spans="1:5" x14ac:dyDescent="0.3">
      <c r="A5" s="164">
        <v>44866</v>
      </c>
      <c r="B5" s="39">
        <v>363672.71</v>
      </c>
    </row>
    <row r="6" spans="1:5" x14ac:dyDescent="0.3">
      <c r="A6" s="164">
        <v>44896</v>
      </c>
      <c r="B6" s="39">
        <v>376025.65</v>
      </c>
    </row>
    <row r="7" spans="1:5" x14ac:dyDescent="0.3">
      <c r="A7" s="164">
        <v>44927</v>
      </c>
      <c r="B7" s="39">
        <v>385650.5</v>
      </c>
    </row>
    <row r="8" spans="1:5" x14ac:dyDescent="0.3">
      <c r="A8" s="164">
        <v>44958</v>
      </c>
      <c r="B8" s="39">
        <v>343665.27</v>
      </c>
    </row>
    <row r="9" spans="1:5" x14ac:dyDescent="0.3">
      <c r="A9" s="164">
        <v>44986</v>
      </c>
      <c r="B9" s="39">
        <v>390565.64</v>
      </c>
    </row>
    <row r="10" spans="1:5" x14ac:dyDescent="0.3">
      <c r="A10" s="164">
        <v>45017</v>
      </c>
      <c r="B10" s="39">
        <v>400085.86</v>
      </c>
    </row>
    <row r="11" spans="1:5" x14ac:dyDescent="0.3">
      <c r="A11" s="164">
        <v>45047</v>
      </c>
      <c r="B11" s="39">
        <v>589151.01</v>
      </c>
    </row>
    <row r="12" spans="1:5" x14ac:dyDescent="0.3">
      <c r="A12" s="164">
        <v>45078</v>
      </c>
      <c r="B12" s="39">
        <v>629495.80000000005</v>
      </c>
    </row>
    <row r="13" spans="1:5" x14ac:dyDescent="0.3">
      <c r="A13" s="164">
        <v>45108</v>
      </c>
      <c r="B13" s="39">
        <v>719682.76</v>
      </c>
    </row>
    <row r="14" spans="1:5" x14ac:dyDescent="0.3">
      <c r="A14" s="164">
        <v>45139</v>
      </c>
      <c r="B14" s="39">
        <v>753683.85</v>
      </c>
    </row>
    <row r="15" spans="1:5" x14ac:dyDescent="0.3">
      <c r="A15" s="164">
        <v>45170</v>
      </c>
      <c r="B15" s="39">
        <v>593811.19999999995</v>
      </c>
    </row>
    <row r="16" spans="1:5" x14ac:dyDescent="0.3">
      <c r="A16" s="164">
        <v>45200</v>
      </c>
      <c r="B16" s="39">
        <v>442264.63</v>
      </c>
    </row>
    <row r="17" spans="1:5" x14ac:dyDescent="0.3">
      <c r="A17" s="164">
        <v>45231</v>
      </c>
      <c r="B17" s="39">
        <v>434686.12</v>
      </c>
    </row>
    <row r="18" spans="1:5" x14ac:dyDescent="0.3">
      <c r="A18" s="164">
        <v>45261</v>
      </c>
      <c r="B18" s="39">
        <v>393899.63</v>
      </c>
    </row>
    <row r="19" spans="1:5" x14ac:dyDescent="0.3">
      <c r="A19" s="164">
        <v>45292</v>
      </c>
      <c r="B19" s="39">
        <v>428519.49</v>
      </c>
    </row>
    <row r="20" spans="1:5" x14ac:dyDescent="0.3">
      <c r="A20" s="164">
        <v>45323</v>
      </c>
      <c r="B20" s="39">
        <v>441367.84</v>
      </c>
    </row>
    <row r="21" spans="1:5" x14ac:dyDescent="0.3">
      <c r="A21" s="164">
        <v>45352</v>
      </c>
      <c r="B21" s="39">
        <v>401277.77</v>
      </c>
    </row>
    <row r="22" spans="1:5" x14ac:dyDescent="0.3">
      <c r="A22" s="164">
        <v>45383</v>
      </c>
      <c r="B22" s="39">
        <v>459717.58</v>
      </c>
    </row>
    <row r="23" spans="1:5" x14ac:dyDescent="0.3">
      <c r="A23" s="164">
        <v>45413</v>
      </c>
      <c r="B23" s="39">
        <v>469291.57</v>
      </c>
    </row>
    <row r="24" spans="1:5" x14ac:dyDescent="0.3">
      <c r="A24" s="164">
        <v>45444</v>
      </c>
      <c r="B24" s="39">
        <v>678085.44</v>
      </c>
    </row>
    <row r="25" spans="1:5" x14ac:dyDescent="0.3">
      <c r="A25" s="164">
        <v>45474</v>
      </c>
      <c r="B25" s="39">
        <v>831567.22</v>
      </c>
    </row>
    <row r="26" spans="1:5" x14ac:dyDescent="0.3">
      <c r="A26" s="164">
        <v>45505</v>
      </c>
      <c r="B26" s="39">
        <v>831567.22</v>
      </c>
    </row>
    <row r="27" spans="1:5" x14ac:dyDescent="0.3">
      <c r="A27" s="164">
        <v>45536</v>
      </c>
      <c r="B27" s="39">
        <v>976963.01</v>
      </c>
    </row>
    <row r="28" spans="1:5" x14ac:dyDescent="0.3">
      <c r="A28" s="164">
        <v>45566</v>
      </c>
      <c r="B28" s="39">
        <v>525094.05000000005</v>
      </c>
    </row>
    <row r="29" spans="1:5" x14ac:dyDescent="0.3">
      <c r="A29" s="164">
        <v>45597</v>
      </c>
      <c r="B29" s="39">
        <v>509659.32</v>
      </c>
      <c r="C29" s="39">
        <v>509659.32</v>
      </c>
      <c r="D29" s="39">
        <v>509659.32</v>
      </c>
      <c r="E29" s="39">
        <v>509659.32</v>
      </c>
    </row>
    <row r="30" spans="1:5" x14ac:dyDescent="0.3">
      <c r="A30" s="164">
        <v>45628</v>
      </c>
      <c r="B30" s="39">
        <v>521351.20698836423</v>
      </c>
      <c r="C30" s="39">
        <f t="shared" ref="C30:C36" si="0">_xlfn.FORECAST.ETS(A30,$B$2:$B$29,$A$2:$A$29,1,1)</f>
        <v>521351.20698836423</v>
      </c>
      <c r="D30" s="39">
        <f t="shared" ref="D30:D36" si="1">C30-_xlfn.FORECAST.ETS.CONFINT(A30,$B$2:$B$29,$A$2:$A$29,0.95,1,1)</f>
        <v>253048.29422676301</v>
      </c>
      <c r="E30" s="39">
        <f t="shared" ref="E30:E36" si="2">C30+_xlfn.FORECAST.ETS.CONFINT(A30,$B$2:$B$29,$A$2:$A$29,0.95,1,1)</f>
        <v>789654.11974996538</v>
      </c>
    </row>
    <row r="31" spans="1:5" x14ac:dyDescent="0.3">
      <c r="A31" s="164">
        <v>45659</v>
      </c>
      <c r="B31" s="39">
        <v>532677.72250834259</v>
      </c>
      <c r="C31" s="39">
        <f t="shared" si="0"/>
        <v>532677.72250834259</v>
      </c>
      <c r="D31" s="39">
        <f t="shared" si="1"/>
        <v>198215.7008479606</v>
      </c>
      <c r="E31" s="39">
        <f t="shared" si="2"/>
        <v>867139.74416872463</v>
      </c>
    </row>
    <row r="32" spans="1:5" x14ac:dyDescent="0.3">
      <c r="A32" s="164">
        <v>45690</v>
      </c>
      <c r="B32" s="39">
        <v>544043.38497136184</v>
      </c>
      <c r="C32" s="39">
        <f t="shared" si="0"/>
        <v>544043.38497136184</v>
      </c>
      <c r="D32" s="39">
        <f t="shared" si="1"/>
        <v>154186.93255407189</v>
      </c>
      <c r="E32" s="39">
        <f t="shared" si="2"/>
        <v>933899.83738865179</v>
      </c>
    </row>
    <row r="33" spans="1:5" x14ac:dyDescent="0.3">
      <c r="A33" s="164">
        <v>45721</v>
      </c>
      <c r="B33" s="39">
        <v>556426.86795345787</v>
      </c>
      <c r="C33" s="39">
        <f t="shared" si="0"/>
        <v>556426.86795345787</v>
      </c>
      <c r="D33" s="39">
        <f t="shared" si="1"/>
        <v>113899.66343518393</v>
      </c>
      <c r="E33" s="39">
        <f t="shared" si="2"/>
        <v>998954.07247173181</v>
      </c>
    </row>
    <row r="34" spans="1:5" x14ac:dyDescent="0.3">
      <c r="A34" s="164">
        <v>45752</v>
      </c>
      <c r="B34" s="39">
        <v>567802.09966922074</v>
      </c>
      <c r="C34" s="39">
        <f t="shared" si="0"/>
        <v>567802.09966922074</v>
      </c>
      <c r="D34" s="39">
        <f t="shared" si="1"/>
        <v>81786.046292353829</v>
      </c>
      <c r="E34" s="39">
        <f t="shared" si="2"/>
        <v>1053818.1530460876</v>
      </c>
    </row>
    <row r="35" spans="1:5" x14ac:dyDescent="0.3">
      <c r="A35" s="164">
        <v>45783</v>
      </c>
      <c r="B35" s="39">
        <v>579445.27046180051</v>
      </c>
      <c r="C35" s="39">
        <f t="shared" si="0"/>
        <v>579445.27046180051</v>
      </c>
      <c r="D35" s="39">
        <f t="shared" si="1"/>
        <v>52514.16861313337</v>
      </c>
      <c r="E35" s="39">
        <f t="shared" si="2"/>
        <v>1106376.3723104675</v>
      </c>
    </row>
    <row r="36" spans="1:5" x14ac:dyDescent="0.3">
      <c r="A36" s="164">
        <v>45814</v>
      </c>
      <c r="B36" s="39">
        <v>590832.68122650951</v>
      </c>
      <c r="C36" s="39">
        <f t="shared" si="0"/>
        <v>590832.68122650951</v>
      </c>
      <c r="D36" s="39">
        <f t="shared" si="1"/>
        <v>26652.613506119582</v>
      </c>
      <c r="E36" s="39">
        <f t="shared" si="2"/>
        <v>1155012.7489468995</v>
      </c>
    </row>
    <row r="37" spans="1:5" x14ac:dyDescent="0.3">
      <c r="B37" s="39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workbookViewId="0">
      <selection activeCell="N13" sqref="N13"/>
    </sheetView>
  </sheetViews>
  <sheetFormatPr defaultRowHeight="14.4" x14ac:dyDescent="0.3"/>
  <cols>
    <col min="1" max="1" width="48.21875" customWidth="1"/>
    <col min="2" max="2" width="17" bestFit="1" customWidth="1"/>
    <col min="3" max="3" width="15.44140625" bestFit="1" customWidth="1"/>
    <col min="4" max="4" width="17" bestFit="1" customWidth="1"/>
    <col min="5" max="6" width="15.44140625" bestFit="1" customWidth="1"/>
    <col min="7" max="11" width="14.44140625" bestFit="1" customWidth="1"/>
    <col min="12" max="13" width="15.44140625" bestFit="1" customWidth="1"/>
    <col min="14" max="14" width="17" bestFit="1" customWidth="1"/>
  </cols>
  <sheetData>
    <row r="1" spans="1:14" ht="15" thickBot="1" x14ac:dyDescent="0.35"/>
    <row r="2" spans="1:14" ht="15" thickBot="1" x14ac:dyDescent="0.35">
      <c r="A2" s="294" t="s">
        <v>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6">
        <v>43309</v>
      </c>
      <c r="C3" s="7">
        <v>43313</v>
      </c>
      <c r="D3" s="7">
        <v>43344</v>
      </c>
      <c r="E3" s="7">
        <v>43374</v>
      </c>
      <c r="F3" s="7">
        <v>43405</v>
      </c>
      <c r="G3" s="24">
        <v>43435</v>
      </c>
      <c r="H3" s="24">
        <v>43466</v>
      </c>
      <c r="I3" s="24">
        <v>43497</v>
      </c>
      <c r="J3" s="24">
        <v>43525</v>
      </c>
      <c r="K3" s="24">
        <v>43556</v>
      </c>
      <c r="L3" s="24">
        <v>43586</v>
      </c>
      <c r="M3" s="25">
        <v>43617</v>
      </c>
      <c r="N3" s="26" t="s">
        <v>2</v>
      </c>
    </row>
    <row r="4" spans="1:14" ht="15" thickBot="1" x14ac:dyDescent="0.35">
      <c r="A4" s="2" t="s">
        <v>3</v>
      </c>
      <c r="B4" s="14">
        <v>182624581.33000001</v>
      </c>
      <c r="C4" s="15">
        <v>193438995.62</v>
      </c>
      <c r="D4" s="16">
        <v>108482508.09</v>
      </c>
      <c r="E4" s="17">
        <v>107026121.15000001</v>
      </c>
      <c r="F4" s="18">
        <v>104989531.15000001</v>
      </c>
      <c r="G4" s="10">
        <v>77711891.6704074</v>
      </c>
      <c r="H4" s="10">
        <v>80498091.414567515</v>
      </c>
      <c r="I4" s="10">
        <v>72989405.719582334</v>
      </c>
      <c r="J4" s="10">
        <v>77309726.83880794</v>
      </c>
      <c r="K4" s="10">
        <v>73557220.890479997</v>
      </c>
      <c r="L4" s="10">
        <v>85899540.788739964</v>
      </c>
      <c r="M4" s="10">
        <v>143053970.07632047</v>
      </c>
      <c r="N4" s="27">
        <v>1307581584.7389054</v>
      </c>
    </row>
    <row r="5" spans="1:14" ht="15" thickBot="1" x14ac:dyDescent="0.35">
      <c r="A5" s="3" t="s">
        <v>4</v>
      </c>
      <c r="B5" s="19">
        <v>26313568.623</v>
      </c>
      <c r="C5" s="20">
        <v>25755637.256499998</v>
      </c>
      <c r="D5" s="18">
        <v>14705322.228</v>
      </c>
      <c r="E5" s="20">
        <v>14996043.814999999</v>
      </c>
      <c r="F5" s="20">
        <v>14503581.557499999</v>
      </c>
      <c r="G5" s="28">
        <v>11472649.923484731</v>
      </c>
      <c r="H5" s="28">
        <v>11974235.332297951</v>
      </c>
      <c r="I5" s="28">
        <v>11255233.444386154</v>
      </c>
      <c r="J5" s="28">
        <v>11921522.467902787</v>
      </c>
      <c r="K5" s="28">
        <v>11673677.087722562</v>
      </c>
      <c r="L5" s="28">
        <v>13015662.903439976</v>
      </c>
      <c r="M5" s="29">
        <v>20832536.856220543</v>
      </c>
      <c r="N5" s="27">
        <v>188419671.4954547</v>
      </c>
    </row>
    <row r="6" spans="1:14" ht="15" thickBot="1" x14ac:dyDescent="0.35">
      <c r="A6" s="3" t="s">
        <v>5</v>
      </c>
      <c r="B6" s="19">
        <v>138070.7365</v>
      </c>
      <c r="C6" s="20">
        <v>138070.7365</v>
      </c>
      <c r="D6" s="20">
        <v>133641.27000000002</v>
      </c>
      <c r="E6" s="20">
        <v>138070.7365</v>
      </c>
      <c r="F6" s="20">
        <v>133641.27000000002</v>
      </c>
      <c r="G6" s="28">
        <v>112169.84020120637</v>
      </c>
      <c r="H6" s="28">
        <v>112169.84020120637</v>
      </c>
      <c r="I6" s="28">
        <v>101374.24726685561</v>
      </c>
      <c r="J6" s="28">
        <v>112169.84020120637</v>
      </c>
      <c r="K6" s="28">
        <v>108571.30922308945</v>
      </c>
      <c r="L6" s="28">
        <v>112169.84020120637</v>
      </c>
      <c r="M6" s="29">
        <v>108571.30922308945</v>
      </c>
      <c r="N6" s="27">
        <v>1448690.9760178598</v>
      </c>
    </row>
    <row r="7" spans="1:14" ht="15" thickBot="1" x14ac:dyDescent="0.35">
      <c r="A7" s="3" t="s">
        <v>6</v>
      </c>
      <c r="B7" s="19">
        <v>1938619.17</v>
      </c>
      <c r="C7" s="20">
        <v>1950983.14</v>
      </c>
      <c r="D7" s="20">
        <v>1173145.75</v>
      </c>
      <c r="E7" s="20">
        <v>1240768.8</v>
      </c>
      <c r="F7" s="20">
        <v>1210463.182</v>
      </c>
      <c r="G7" s="28">
        <v>1044631.5240807289</v>
      </c>
      <c r="H7" s="28">
        <v>1064148.5911628811</v>
      </c>
      <c r="I7" s="28">
        <v>954390.47087803599</v>
      </c>
      <c r="J7" s="28">
        <v>1000220.3617436279</v>
      </c>
      <c r="K7" s="28">
        <v>956950.40873267956</v>
      </c>
      <c r="L7" s="28">
        <v>1020112.9395098791</v>
      </c>
      <c r="M7" s="29">
        <v>1526889.4557509138</v>
      </c>
      <c r="N7" s="30">
        <v>15081323.793858746</v>
      </c>
    </row>
    <row r="8" spans="1:14" ht="15" thickBot="1" x14ac:dyDescent="0.35">
      <c r="A8" s="4" t="s">
        <v>17</v>
      </c>
      <c r="B8" s="21">
        <v>0</v>
      </c>
      <c r="C8" s="22">
        <v>0</v>
      </c>
      <c r="D8" s="22">
        <v>0</v>
      </c>
      <c r="E8" s="22">
        <v>3000000</v>
      </c>
      <c r="F8" s="22">
        <v>3000000</v>
      </c>
      <c r="G8" s="5">
        <v>3000000</v>
      </c>
      <c r="H8" s="5">
        <v>3000000</v>
      </c>
      <c r="I8" s="5">
        <v>3000000</v>
      </c>
      <c r="J8" s="5">
        <v>3000000</v>
      </c>
      <c r="K8" s="5">
        <v>3000000</v>
      </c>
      <c r="L8" s="5">
        <v>3000000</v>
      </c>
      <c r="M8" s="5">
        <v>3000000</v>
      </c>
      <c r="N8" s="23">
        <v>27000000</v>
      </c>
    </row>
    <row r="9" spans="1:14" ht="15" thickBot="1" x14ac:dyDescent="0.35">
      <c r="A9" s="1" t="s">
        <v>7</v>
      </c>
      <c r="B9" s="12">
        <v>211014839.85949999</v>
      </c>
      <c r="C9" s="12">
        <v>221283686.75299999</v>
      </c>
      <c r="D9" s="12">
        <v>124494617.338</v>
      </c>
      <c r="E9" s="12">
        <v>126401004.5015</v>
      </c>
      <c r="F9" s="12">
        <v>123837217.1595</v>
      </c>
      <c r="G9" s="31">
        <v>93341342.95817405</v>
      </c>
      <c r="H9" s="31">
        <v>96648645.178229541</v>
      </c>
      <c r="I9" s="31">
        <v>88300403.882113382</v>
      </c>
      <c r="J9" s="31">
        <v>93343639.508655548</v>
      </c>
      <c r="K9" s="31">
        <v>89296419.69615832</v>
      </c>
      <c r="L9" s="31">
        <v>103047486.47189103</v>
      </c>
      <c r="M9" s="31">
        <v>168521967.69751501</v>
      </c>
      <c r="N9" s="27">
        <v>1539531271.0042369</v>
      </c>
    </row>
    <row r="10" spans="1:14" x14ac:dyDescent="0.3">
      <c r="B10" s="297" t="s">
        <v>13</v>
      </c>
      <c r="C10" s="297"/>
      <c r="D10" s="297"/>
      <c r="E10" s="297"/>
      <c r="F10" s="297"/>
      <c r="G10" s="298" t="s">
        <v>20</v>
      </c>
      <c r="H10" s="298"/>
      <c r="I10" s="298"/>
      <c r="J10" s="298"/>
      <c r="K10" s="298"/>
      <c r="L10" s="298"/>
      <c r="M10" s="298"/>
      <c r="N10" s="298"/>
    </row>
    <row r="11" spans="1:14" ht="15" thickBot="1" x14ac:dyDescent="0.35">
      <c r="B11" s="39"/>
      <c r="D11" s="39"/>
      <c r="E11" s="39"/>
      <c r="N11" s="39">
        <f>+N4+N5+N6+N7</f>
        <v>1512531271.0042369</v>
      </c>
    </row>
    <row r="12" spans="1:14" ht="15" thickBot="1" x14ac:dyDescent="0.35">
      <c r="A12" s="33" t="s">
        <v>14</v>
      </c>
      <c r="B12" s="34">
        <v>1448531271</v>
      </c>
      <c r="E12" s="39"/>
      <c r="G12" s="32"/>
      <c r="H12" s="32"/>
      <c r="I12" s="32"/>
      <c r="J12" s="32"/>
      <c r="K12" s="32"/>
      <c r="L12" s="32"/>
      <c r="M12" s="32"/>
      <c r="N12" s="48">
        <f>+N11+N8</f>
        <v>1539531271.0042369</v>
      </c>
    </row>
    <row r="13" spans="1:14" ht="15" thickBot="1" x14ac:dyDescent="0.35">
      <c r="A13" s="35" t="s">
        <v>15</v>
      </c>
      <c r="B13" s="36">
        <f>N9</f>
        <v>1539531271.0042369</v>
      </c>
      <c r="G13" s="32"/>
      <c r="H13" s="32"/>
      <c r="I13" s="32"/>
      <c r="J13" s="32"/>
      <c r="K13" s="32"/>
      <c r="L13" s="32"/>
      <c r="M13" s="32"/>
      <c r="N13" s="32"/>
    </row>
    <row r="14" spans="1:14" ht="15" thickBot="1" x14ac:dyDescent="0.35">
      <c r="A14" s="37" t="s">
        <v>16</v>
      </c>
      <c r="B14" s="38">
        <f>B12-B13</f>
        <v>-91000000.004236937</v>
      </c>
      <c r="G14" s="32"/>
      <c r="H14" s="32"/>
      <c r="I14" s="32"/>
      <c r="J14" s="32"/>
      <c r="K14" s="32"/>
      <c r="L14" s="32"/>
      <c r="M14" s="32"/>
      <c r="N14" s="32"/>
    </row>
    <row r="15" spans="1:14" ht="15.6" thickTop="1" thickBot="1" x14ac:dyDescent="0.35"/>
    <row r="16" spans="1:14" ht="15" thickBot="1" x14ac:dyDescent="0.35">
      <c r="A16" s="294" t="s">
        <v>8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</row>
    <row r="17" spans="1:14" ht="15" thickBot="1" x14ac:dyDescent="0.35">
      <c r="A17" s="1" t="s">
        <v>1</v>
      </c>
      <c r="B17" s="6">
        <v>43309</v>
      </c>
      <c r="C17" s="7">
        <v>43313</v>
      </c>
      <c r="D17" s="7">
        <v>43344</v>
      </c>
      <c r="E17" s="7">
        <v>43374</v>
      </c>
      <c r="F17" s="7">
        <v>43405</v>
      </c>
      <c r="G17" s="24">
        <v>43435</v>
      </c>
      <c r="H17" s="24">
        <v>43466</v>
      </c>
      <c r="I17" s="24">
        <v>43497</v>
      </c>
      <c r="J17" s="24">
        <v>43525</v>
      </c>
      <c r="K17" s="24">
        <v>43556</v>
      </c>
      <c r="L17" s="24">
        <v>43586</v>
      </c>
      <c r="M17" s="25">
        <v>43617</v>
      </c>
      <c r="N17" s="26" t="s">
        <v>2</v>
      </c>
    </row>
    <row r="18" spans="1:14" ht="15" thickBot="1" x14ac:dyDescent="0.35">
      <c r="A18" s="2" t="s">
        <v>9</v>
      </c>
      <c r="B18" s="8">
        <v>326386.60600000003</v>
      </c>
      <c r="C18" s="9">
        <v>335610.158</v>
      </c>
      <c r="D18" s="9">
        <v>246164.91750000001</v>
      </c>
      <c r="E18" s="9">
        <v>250128.10500000001</v>
      </c>
      <c r="F18" s="9">
        <v>240395.42499999999</v>
      </c>
      <c r="G18" s="10">
        <v>193700.32132275842</v>
      </c>
      <c r="H18" s="10">
        <v>190791.44931284923</v>
      </c>
      <c r="I18" s="10">
        <v>171742.1480360745</v>
      </c>
      <c r="J18" s="10">
        <v>193412.86483380097</v>
      </c>
      <c r="K18" s="10">
        <v>191018.29394612019</v>
      </c>
      <c r="L18" s="10">
        <v>207207.72554469883</v>
      </c>
      <c r="M18" s="10">
        <v>255923.60349337582</v>
      </c>
      <c r="N18" s="27">
        <v>2802481.6179896784</v>
      </c>
    </row>
    <row r="19" spans="1:14" ht="15" thickBot="1" x14ac:dyDescent="0.35">
      <c r="A19" s="3" t="s">
        <v>10</v>
      </c>
      <c r="B19" s="11">
        <v>1758863.5325</v>
      </c>
      <c r="C19" s="9">
        <v>1728399.5265000002</v>
      </c>
      <c r="D19" s="9">
        <v>1011135.246</v>
      </c>
      <c r="E19" s="9">
        <v>954069.86549999996</v>
      </c>
      <c r="F19" s="9">
        <v>899969.65650000004</v>
      </c>
      <c r="G19" s="10">
        <v>687107.28297002718</v>
      </c>
      <c r="H19" s="10">
        <v>734888.93000463792</v>
      </c>
      <c r="I19" s="10">
        <v>672279.84779630532</v>
      </c>
      <c r="J19" s="10">
        <v>729917.20110605238</v>
      </c>
      <c r="K19" s="10">
        <v>747830.28174197383</v>
      </c>
      <c r="L19" s="10">
        <v>896598.59604140325</v>
      </c>
      <c r="M19" s="10">
        <v>1384864.2453689196</v>
      </c>
      <c r="N19" s="27">
        <v>12205924.212029321</v>
      </c>
    </row>
    <row r="20" spans="1:14" ht="15" thickBot="1" x14ac:dyDescent="0.35">
      <c r="A20" s="3" t="s">
        <v>11</v>
      </c>
      <c r="B20" s="11">
        <v>652557.15</v>
      </c>
      <c r="C20" s="9">
        <v>625688.64199999999</v>
      </c>
      <c r="D20" s="9">
        <v>337416.348</v>
      </c>
      <c r="E20" s="9">
        <v>328737.413</v>
      </c>
      <c r="F20" s="9">
        <v>320535.71650000004</v>
      </c>
      <c r="G20" s="10">
        <v>244657.28383351027</v>
      </c>
      <c r="H20" s="10">
        <v>253012.99270246454</v>
      </c>
      <c r="I20" s="10">
        <v>247437.56192363781</v>
      </c>
      <c r="J20" s="10">
        <v>270038.90997230005</v>
      </c>
      <c r="K20" s="10">
        <v>271772.70658279571</v>
      </c>
      <c r="L20" s="10">
        <v>313016.02762641793</v>
      </c>
      <c r="M20" s="10">
        <v>505037.46340026561</v>
      </c>
      <c r="N20" s="27">
        <v>4369908.2155413926</v>
      </c>
    </row>
    <row r="21" spans="1:14" ht="15" thickBot="1" x14ac:dyDescent="0.35">
      <c r="A21" s="3" t="s">
        <v>12</v>
      </c>
      <c r="B21" s="11">
        <v>152446.03</v>
      </c>
      <c r="C21" s="9">
        <v>149226.65</v>
      </c>
      <c r="D21" s="9">
        <v>84126.27</v>
      </c>
      <c r="E21" s="9">
        <v>78339.83</v>
      </c>
      <c r="F21" s="9">
        <v>85998.104000000007</v>
      </c>
      <c r="G21" s="10">
        <v>78980.306625391851</v>
      </c>
      <c r="H21" s="10">
        <v>81874.410367509627</v>
      </c>
      <c r="I21" s="10">
        <v>73101.990518157691</v>
      </c>
      <c r="J21" s="10">
        <v>79615.320448816958</v>
      </c>
      <c r="K21" s="10">
        <v>75188.331365697813</v>
      </c>
      <c r="L21" s="10">
        <v>81513.432723468999</v>
      </c>
      <c r="M21" s="10">
        <v>121263.27426024246</v>
      </c>
      <c r="N21" s="27">
        <v>1141673.9503092854</v>
      </c>
    </row>
    <row r="22" spans="1:14" ht="15" thickBot="1" x14ac:dyDescent="0.35">
      <c r="A22" s="1" t="s">
        <v>7</v>
      </c>
      <c r="B22" s="13">
        <v>2890253.3184999996</v>
      </c>
      <c r="C22" s="13">
        <v>2838924.9765000003</v>
      </c>
      <c r="D22" s="13">
        <v>1678842.7815</v>
      </c>
      <c r="E22" s="13">
        <v>1611275.2135000001</v>
      </c>
      <c r="F22" s="13">
        <v>1546898.9020000002</v>
      </c>
      <c r="G22" s="31">
        <v>1204445.1947516878</v>
      </c>
      <c r="H22" s="31">
        <v>1260567.7823874613</v>
      </c>
      <c r="I22" s="31">
        <v>1164561.5482741753</v>
      </c>
      <c r="J22" s="31">
        <v>1272984.2963609702</v>
      </c>
      <c r="K22" s="31">
        <v>1285809.6136365875</v>
      </c>
      <c r="L22" s="31">
        <v>1498335.7819359889</v>
      </c>
      <c r="M22" s="31">
        <v>2267088.5865228036</v>
      </c>
      <c r="N22" s="27">
        <v>20519987.995869674</v>
      </c>
    </row>
    <row r="23" spans="1:14" x14ac:dyDescent="0.3">
      <c r="B23" s="297" t="s">
        <v>13</v>
      </c>
      <c r="C23" s="297"/>
      <c r="D23" s="297"/>
      <c r="E23" s="297"/>
      <c r="F23" s="297"/>
      <c r="G23" s="298" t="s">
        <v>19</v>
      </c>
      <c r="H23" s="298"/>
      <c r="I23" s="298"/>
      <c r="J23" s="298"/>
      <c r="K23" s="298"/>
      <c r="L23" s="298"/>
      <c r="M23" s="298"/>
      <c r="N23" s="298"/>
    </row>
    <row r="24" spans="1:14" ht="15" thickBot="1" x14ac:dyDescent="0.3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5" thickBot="1" x14ac:dyDescent="0.35">
      <c r="A25" s="33" t="s">
        <v>14</v>
      </c>
      <c r="B25" s="34">
        <v>20519988</v>
      </c>
    </row>
    <row r="26" spans="1:14" ht="15" thickBot="1" x14ac:dyDescent="0.35">
      <c r="A26" s="35" t="s">
        <v>15</v>
      </c>
      <c r="B26" s="36">
        <f>N22</f>
        <v>20519987.995869674</v>
      </c>
    </row>
    <row r="27" spans="1:14" ht="15" thickBot="1" x14ac:dyDescent="0.35">
      <c r="A27" s="37" t="s">
        <v>16</v>
      </c>
      <c r="B27" s="38">
        <f>B25-B26</f>
        <v>4.1303262114524841E-3</v>
      </c>
    </row>
    <row r="28" spans="1:14" ht="15" thickTop="1" x14ac:dyDescent="0.3"/>
    <row r="29" spans="1:14" ht="15" thickBot="1" x14ac:dyDescent="0.35"/>
    <row r="30" spans="1:14" ht="15" thickBot="1" x14ac:dyDescent="0.35">
      <c r="A30" s="35" t="s">
        <v>21</v>
      </c>
      <c r="B30" s="36">
        <f>B14+B27</f>
        <v>-91000000.000106603</v>
      </c>
    </row>
  </sheetData>
  <mergeCells count="6">
    <mergeCell ref="B23:F23"/>
    <mergeCell ref="A16:N16"/>
    <mergeCell ref="G23:N23"/>
    <mergeCell ref="B10:F10"/>
    <mergeCell ref="A2:N2"/>
    <mergeCell ref="G10:N1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4E4F-49AA-4E2A-B833-62F6C89C71B9}">
  <dimension ref="A1:M36"/>
  <sheetViews>
    <sheetView topLeftCell="A10" workbookViewId="0">
      <selection activeCell="B2" sqref="B2:B30"/>
    </sheetView>
  </sheetViews>
  <sheetFormatPr defaultRowHeight="14.4" x14ac:dyDescent="0.3"/>
  <cols>
    <col min="1" max="1" width="13.77734375" bestFit="1" customWidth="1"/>
    <col min="2" max="3" width="15.21875" bestFit="1" customWidth="1"/>
    <col min="4" max="4" width="25.21875" customWidth="1"/>
    <col min="5" max="5" width="25.44140625" customWidth="1"/>
    <col min="10" max="11" width="12" bestFit="1" customWidth="1"/>
    <col min="13" max="13" width="12" bestFit="1" customWidth="1"/>
  </cols>
  <sheetData>
    <row r="1" spans="1:5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</row>
    <row r="2" spans="1:5" x14ac:dyDescent="0.3">
      <c r="A2" s="164">
        <v>44774</v>
      </c>
      <c r="B2" s="39">
        <v>208343291.19999999</v>
      </c>
    </row>
    <row r="3" spans="1:5" x14ac:dyDescent="0.3">
      <c r="A3" s="164">
        <v>44805</v>
      </c>
      <c r="B3" s="39">
        <v>120023709.54000001</v>
      </c>
    </row>
    <row r="4" spans="1:5" x14ac:dyDescent="0.3">
      <c r="A4" s="164">
        <v>44835</v>
      </c>
      <c r="B4" s="39">
        <v>120111620.78</v>
      </c>
    </row>
    <row r="5" spans="1:5" x14ac:dyDescent="0.3">
      <c r="A5" s="164">
        <v>44866</v>
      </c>
      <c r="B5" s="39">
        <v>118568754.98999999</v>
      </c>
    </row>
    <row r="6" spans="1:5" x14ac:dyDescent="0.3">
      <c r="A6" s="164">
        <v>44896</v>
      </c>
      <c r="B6" s="39">
        <v>109712490.7</v>
      </c>
    </row>
    <row r="7" spans="1:5" x14ac:dyDescent="0.3">
      <c r="A7" s="164">
        <v>44927</v>
      </c>
      <c r="B7" s="39">
        <v>119865906.34</v>
      </c>
    </row>
    <row r="8" spans="1:5" x14ac:dyDescent="0.3">
      <c r="A8" s="164">
        <v>44958</v>
      </c>
      <c r="B8" s="39">
        <v>112238319.48</v>
      </c>
    </row>
    <row r="9" spans="1:5" x14ac:dyDescent="0.3">
      <c r="A9" s="164">
        <v>44986</v>
      </c>
      <c r="B9" s="39">
        <v>122813349.93000001</v>
      </c>
    </row>
    <row r="10" spans="1:5" x14ac:dyDescent="0.3">
      <c r="A10" s="164">
        <v>45017</v>
      </c>
      <c r="B10" s="39">
        <v>117572062.88</v>
      </c>
    </row>
    <row r="11" spans="1:5" x14ac:dyDescent="0.3">
      <c r="A11" s="164">
        <v>45047</v>
      </c>
      <c r="B11" s="39">
        <v>274666188.64999998</v>
      </c>
    </row>
    <row r="12" spans="1:5" x14ac:dyDescent="0.3">
      <c r="A12" s="164">
        <v>45078</v>
      </c>
      <c r="B12" s="39">
        <v>260567700.24000001</v>
      </c>
    </row>
    <row r="13" spans="1:5" x14ac:dyDescent="0.3">
      <c r="A13" s="164">
        <v>45108</v>
      </c>
      <c r="B13" s="39">
        <v>277013750.64999998</v>
      </c>
    </row>
    <row r="14" spans="1:5" x14ac:dyDescent="0.3">
      <c r="A14" s="164">
        <v>45139</v>
      </c>
      <c r="B14" s="39">
        <v>263433752.09</v>
      </c>
    </row>
    <row r="15" spans="1:5" x14ac:dyDescent="0.3">
      <c r="A15" s="164">
        <v>45170</v>
      </c>
      <c r="B15" s="39">
        <v>169733900.40000001</v>
      </c>
    </row>
    <row r="16" spans="1:5" x14ac:dyDescent="0.3">
      <c r="A16" s="164">
        <v>45200</v>
      </c>
      <c r="B16" s="39">
        <v>145463723.53999999</v>
      </c>
    </row>
    <row r="17" spans="1:13" x14ac:dyDescent="0.3">
      <c r="A17" s="164">
        <v>45231</v>
      </c>
      <c r="B17" s="39">
        <v>145818937.69</v>
      </c>
    </row>
    <row r="18" spans="1:13" x14ac:dyDescent="0.3">
      <c r="A18" s="164">
        <v>45261</v>
      </c>
      <c r="B18" s="39">
        <v>134855203.44</v>
      </c>
    </row>
    <row r="19" spans="1:13" x14ac:dyDescent="0.3">
      <c r="A19" s="164">
        <v>45292</v>
      </c>
      <c r="B19" s="39">
        <v>136886068.88</v>
      </c>
    </row>
    <row r="20" spans="1:13" x14ac:dyDescent="0.3">
      <c r="A20" s="164">
        <v>45323</v>
      </c>
      <c r="B20" s="39">
        <v>148929316.33000001</v>
      </c>
    </row>
    <row r="21" spans="1:13" x14ac:dyDescent="0.3">
      <c r="A21" s="164">
        <v>45352</v>
      </c>
      <c r="B21" s="39">
        <v>142234975.59</v>
      </c>
    </row>
    <row r="22" spans="1:13" x14ac:dyDescent="0.3">
      <c r="A22" s="164">
        <v>45383</v>
      </c>
      <c r="B22" s="39">
        <v>147726850.22</v>
      </c>
    </row>
    <row r="23" spans="1:13" x14ac:dyDescent="0.3">
      <c r="A23" s="164">
        <v>45413</v>
      </c>
      <c r="B23" s="39">
        <v>146700542.5</v>
      </c>
    </row>
    <row r="24" spans="1:13" x14ac:dyDescent="0.3">
      <c r="A24" s="164">
        <v>45444</v>
      </c>
      <c r="B24" s="39">
        <v>261527970.63999999</v>
      </c>
    </row>
    <row r="25" spans="1:13" x14ac:dyDescent="0.3">
      <c r="A25" s="164">
        <v>45474</v>
      </c>
      <c r="B25" s="39">
        <v>308892054.16000003</v>
      </c>
    </row>
    <row r="26" spans="1:13" x14ac:dyDescent="0.3">
      <c r="A26" s="164">
        <v>45505</v>
      </c>
      <c r="B26" s="39">
        <v>296927274.94999999</v>
      </c>
    </row>
    <row r="27" spans="1:13" x14ac:dyDescent="0.3">
      <c r="A27" s="164">
        <v>45536</v>
      </c>
      <c r="B27" s="39">
        <v>187906578.78</v>
      </c>
    </row>
    <row r="28" spans="1:13" x14ac:dyDescent="0.3">
      <c r="A28" s="164">
        <v>45566</v>
      </c>
      <c r="B28" s="39">
        <v>158400595.19</v>
      </c>
    </row>
    <row r="29" spans="1:13" x14ac:dyDescent="0.3">
      <c r="A29" s="164">
        <v>45597</v>
      </c>
      <c r="B29" s="39">
        <v>162592307.16</v>
      </c>
      <c r="C29" s="39">
        <v>162592307.16</v>
      </c>
      <c r="D29" s="39">
        <v>162592307.16</v>
      </c>
      <c r="E29" s="39">
        <f>M29</f>
        <v>162592307.16</v>
      </c>
      <c r="I29">
        <v>45597</v>
      </c>
      <c r="J29">
        <v>162592307.16</v>
      </c>
      <c r="K29">
        <v>162592307.16</v>
      </c>
      <c r="L29">
        <v>162592307.16</v>
      </c>
      <c r="M29">
        <v>162592307.16</v>
      </c>
    </row>
    <row r="30" spans="1:13" x14ac:dyDescent="0.3">
      <c r="A30" s="164">
        <v>45628</v>
      </c>
      <c r="C30" s="39">
        <f>_xlfn.FORECAST.ETS(A30,$B$2:$B$29,$A$2:$A$29,1,1)</f>
        <v>165330432.43956172</v>
      </c>
      <c r="D30" s="39">
        <f t="shared" ref="D30:D36" si="0">C30-_xlfn.FORECAST.ETS.CONFINT(A30,$B$2:$B$29,$A$2:$A$29,0.95,1,1)</f>
        <v>62912407.338470891</v>
      </c>
      <c r="E30" s="39">
        <f t="shared" ref="E30:E36" si="1">M30</f>
        <v>155330432.43956199</v>
      </c>
      <c r="I30">
        <v>45628</v>
      </c>
      <c r="K30">
        <v>165330432.43956172</v>
      </c>
      <c r="L30">
        <v>62912407.338470891</v>
      </c>
      <c r="M30">
        <v>155330432.43956199</v>
      </c>
    </row>
    <row r="31" spans="1:13" x14ac:dyDescent="0.3">
      <c r="A31" s="164">
        <v>45659</v>
      </c>
      <c r="C31" s="39">
        <f t="shared" ref="C31:C36" si="2">_xlfn.FORECAST.ETS(A31,$B$2:$B$29,$A$2:$A$29,1,1)</f>
        <v>167737109.68218717</v>
      </c>
      <c r="D31" s="39">
        <f t="shared" si="0"/>
        <v>30667448.917359233</v>
      </c>
      <c r="E31" s="39">
        <f t="shared" si="1"/>
        <v>157737109.68218699</v>
      </c>
      <c r="I31">
        <v>45659</v>
      </c>
      <c r="K31">
        <v>167737109.68218717</v>
      </c>
      <c r="L31">
        <v>30667448.917359233</v>
      </c>
      <c r="M31">
        <v>157737109.68218699</v>
      </c>
    </row>
    <row r="32" spans="1:13" x14ac:dyDescent="0.3">
      <c r="A32" s="164">
        <v>45690</v>
      </c>
      <c r="C32" s="39">
        <f t="shared" si="2"/>
        <v>170152104.9337157</v>
      </c>
      <c r="D32" s="39">
        <f t="shared" si="0"/>
        <v>5428184.9896545112</v>
      </c>
      <c r="E32" s="39">
        <f t="shared" si="1"/>
        <v>160152104.933716</v>
      </c>
      <c r="I32">
        <v>45690</v>
      </c>
      <c r="K32">
        <v>170152104.9337157</v>
      </c>
      <c r="L32">
        <v>5428184.9896545112</v>
      </c>
      <c r="M32">
        <v>160152104.933716</v>
      </c>
    </row>
    <row r="33" spans="1:13" x14ac:dyDescent="0.3">
      <c r="A33" s="164">
        <v>45721</v>
      </c>
      <c r="C33" s="39">
        <f t="shared" si="2"/>
        <v>172783368.41672441</v>
      </c>
      <c r="D33" s="39">
        <f t="shared" si="0"/>
        <v>-17608535.743671119</v>
      </c>
      <c r="E33" s="39">
        <f t="shared" si="1"/>
        <v>162783368.416724</v>
      </c>
      <c r="I33">
        <v>45721</v>
      </c>
      <c r="K33">
        <v>172783368.41672441</v>
      </c>
      <c r="L33">
        <v>-17608535.743671119</v>
      </c>
      <c r="M33">
        <v>162783368.416724</v>
      </c>
    </row>
    <row r="34" spans="1:13" x14ac:dyDescent="0.3">
      <c r="A34" s="164">
        <v>45752</v>
      </c>
      <c r="C34" s="39">
        <f t="shared" si="2"/>
        <v>175200396.95931813</v>
      </c>
      <c r="D34" s="39">
        <f t="shared" si="0"/>
        <v>-36083458.727733135</v>
      </c>
      <c r="E34" s="39">
        <f>M34</f>
        <v>165200396.95931801</v>
      </c>
      <c r="I34">
        <v>45752</v>
      </c>
      <c r="K34">
        <v>175200396.95931813</v>
      </c>
      <c r="L34">
        <v>-36083458.727733135</v>
      </c>
      <c r="M34">
        <v>165200396.95931801</v>
      </c>
    </row>
    <row r="35" spans="1:13" x14ac:dyDescent="0.3">
      <c r="A35" s="164">
        <v>45783</v>
      </c>
      <c r="C35" s="39">
        <f t="shared" si="2"/>
        <v>177674357.65173742</v>
      </c>
      <c r="D35" s="39">
        <f t="shared" si="0"/>
        <v>-53084810.759705395</v>
      </c>
      <c r="E35" s="39">
        <f t="shared" si="1"/>
        <v>167674357.651737</v>
      </c>
      <c r="I35">
        <v>45783</v>
      </c>
      <c r="K35">
        <v>177674357.65173742</v>
      </c>
      <c r="L35">
        <v>-53084810.759705395</v>
      </c>
      <c r="M35">
        <v>167674357.651737</v>
      </c>
    </row>
    <row r="36" spans="1:13" x14ac:dyDescent="0.3">
      <c r="A36" s="164">
        <v>45814</v>
      </c>
      <c r="C36" s="39">
        <f t="shared" si="2"/>
        <v>180093974.01932323</v>
      </c>
      <c r="D36" s="39">
        <f t="shared" si="0"/>
        <v>-68277504.621619463</v>
      </c>
      <c r="E36" s="39">
        <f t="shared" si="1"/>
        <v>304876024.87777698</v>
      </c>
      <c r="I36">
        <v>45814</v>
      </c>
      <c r="K36">
        <v>180093974.01932323</v>
      </c>
      <c r="L36">
        <v>-68277504.621619463</v>
      </c>
      <c r="M36">
        <v>304876024.87777698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02E9-9967-4D2E-9FBC-70B783F0F584}">
  <dimension ref="A1:G37"/>
  <sheetViews>
    <sheetView topLeftCell="A13" workbookViewId="0">
      <selection activeCell="E29" sqref="E29"/>
    </sheetView>
  </sheetViews>
  <sheetFormatPr defaultRowHeight="14.4" x14ac:dyDescent="0.3"/>
  <cols>
    <col min="1" max="1" width="12.44140625" bestFit="1" customWidth="1"/>
    <col min="2" max="3" width="15.21875" bestFit="1" customWidth="1"/>
    <col min="4" max="4" width="24" customWidth="1"/>
    <col min="5" max="5" width="24.21875" customWidth="1"/>
    <col min="6" max="6" width="15.21875" bestFit="1" customWidth="1"/>
  </cols>
  <sheetData>
    <row r="1" spans="1:7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77</v>
      </c>
      <c r="G1" t="s">
        <v>78</v>
      </c>
    </row>
    <row r="2" spans="1:7" x14ac:dyDescent="0.3">
      <c r="A2" s="164">
        <v>44774</v>
      </c>
      <c r="B2" s="39">
        <v>208343291.19999999</v>
      </c>
      <c r="F2" s="39"/>
      <c r="G2" s="39" t="e">
        <f>(Table31[[#This Row],[Column1]]-Table31[[#This Row],[Forecast]])/Table31[[#This Row],[Forecast]]</f>
        <v>#DIV/0!</v>
      </c>
    </row>
    <row r="3" spans="1:7" x14ac:dyDescent="0.3">
      <c r="A3" s="164">
        <v>44805</v>
      </c>
      <c r="B3" s="39">
        <v>120023709.54000001</v>
      </c>
      <c r="F3" s="39"/>
      <c r="G3" s="39" t="e">
        <f>(Table31[[#This Row],[Column1]]-Table31[[#This Row],[Forecast]])/Table31[[#This Row],[Forecast]]</f>
        <v>#DIV/0!</v>
      </c>
    </row>
    <row r="4" spans="1:7" x14ac:dyDescent="0.3">
      <c r="A4" s="164">
        <v>44835</v>
      </c>
      <c r="B4" s="39">
        <v>120111620.78</v>
      </c>
      <c r="F4" s="39"/>
      <c r="G4" s="39" t="e">
        <f>(Table31[[#This Row],[Column1]]-Table31[[#This Row],[Forecast]])/Table31[[#This Row],[Forecast]]</f>
        <v>#DIV/0!</v>
      </c>
    </row>
    <row r="5" spans="1:7" x14ac:dyDescent="0.3">
      <c r="A5" s="164">
        <v>44866</v>
      </c>
      <c r="B5" s="39">
        <v>118568754.98999999</v>
      </c>
      <c r="F5" s="39"/>
      <c r="G5" s="39" t="e">
        <f>(Table31[[#This Row],[Column1]]-Table31[[#This Row],[Forecast]])/Table31[[#This Row],[Forecast]]</f>
        <v>#DIV/0!</v>
      </c>
    </row>
    <row r="6" spans="1:7" x14ac:dyDescent="0.3">
      <c r="A6" s="164">
        <v>44896</v>
      </c>
      <c r="B6" s="39">
        <v>109712490.7</v>
      </c>
      <c r="F6" s="39"/>
      <c r="G6" s="39" t="e">
        <f>(Table31[[#This Row],[Column1]]-Table31[[#This Row],[Forecast]])/Table31[[#This Row],[Forecast]]</f>
        <v>#DIV/0!</v>
      </c>
    </row>
    <row r="7" spans="1:7" x14ac:dyDescent="0.3">
      <c r="A7" s="164">
        <v>44927</v>
      </c>
      <c r="B7" s="39">
        <v>119865906.34</v>
      </c>
      <c r="F7" s="39"/>
      <c r="G7" s="39" t="e">
        <f>(Table31[[#This Row],[Column1]]-Table31[[#This Row],[Forecast]])/Table31[[#This Row],[Forecast]]</f>
        <v>#DIV/0!</v>
      </c>
    </row>
    <row r="8" spans="1:7" x14ac:dyDescent="0.3">
      <c r="A8" s="164">
        <v>44958</v>
      </c>
      <c r="B8" s="39">
        <v>112238319.48</v>
      </c>
      <c r="F8" s="39"/>
      <c r="G8" s="39" t="e">
        <f>(Table31[[#This Row],[Column1]]-Table31[[#This Row],[Forecast]])/Table31[[#This Row],[Forecast]]</f>
        <v>#DIV/0!</v>
      </c>
    </row>
    <row r="9" spans="1:7" x14ac:dyDescent="0.3">
      <c r="A9" s="164">
        <v>44986</v>
      </c>
      <c r="B9" s="39">
        <v>122813349.93000001</v>
      </c>
      <c r="F9" s="39"/>
      <c r="G9" s="39" t="e">
        <f>(Table31[[#This Row],[Column1]]-Table31[[#This Row],[Forecast]])/Table31[[#This Row],[Forecast]]</f>
        <v>#DIV/0!</v>
      </c>
    </row>
    <row r="10" spans="1:7" x14ac:dyDescent="0.3">
      <c r="A10" s="164">
        <v>45017</v>
      </c>
      <c r="B10" s="39">
        <v>117572062.88</v>
      </c>
      <c r="F10" s="39"/>
      <c r="G10" s="39" t="e">
        <f>(Table31[[#This Row],[Column1]]-Table31[[#This Row],[Forecast]])/Table31[[#This Row],[Forecast]]</f>
        <v>#DIV/0!</v>
      </c>
    </row>
    <row r="11" spans="1:7" x14ac:dyDescent="0.3">
      <c r="A11" s="164">
        <v>45047</v>
      </c>
      <c r="B11" s="39">
        <v>274666188.64999998</v>
      </c>
      <c r="F11" s="39"/>
      <c r="G11" s="39" t="e">
        <f>(Table31[[#This Row],[Column1]]-Table31[[#This Row],[Forecast]])/Table31[[#This Row],[Forecast]]</f>
        <v>#DIV/0!</v>
      </c>
    </row>
    <row r="12" spans="1:7" x14ac:dyDescent="0.3">
      <c r="A12" s="164">
        <v>45078</v>
      </c>
      <c r="B12" s="39">
        <v>260567700.24000001</v>
      </c>
      <c r="F12" s="39"/>
      <c r="G12" s="39" t="e">
        <f>(Table31[[#This Row],[Column1]]-Table31[[#This Row],[Forecast]])/Table31[[#This Row],[Forecast]]</f>
        <v>#DIV/0!</v>
      </c>
    </row>
    <row r="13" spans="1:7" x14ac:dyDescent="0.3">
      <c r="A13" s="164">
        <v>45108</v>
      </c>
      <c r="B13" s="39">
        <v>277013750.64999998</v>
      </c>
      <c r="F13" s="39"/>
      <c r="G13" s="39" t="e">
        <f>(Table31[[#This Row],[Column1]]-Table31[[#This Row],[Forecast]])/Table31[[#This Row],[Forecast]]</f>
        <v>#DIV/0!</v>
      </c>
    </row>
    <row r="14" spans="1:7" x14ac:dyDescent="0.3">
      <c r="A14" s="164">
        <v>45139</v>
      </c>
      <c r="B14" s="39">
        <v>263433752.09</v>
      </c>
      <c r="F14" s="39"/>
      <c r="G14" s="39" t="e">
        <f>(Table31[[#This Row],[Column1]]-Table31[[#This Row],[Forecast]])/Table31[[#This Row],[Forecast]]</f>
        <v>#DIV/0!</v>
      </c>
    </row>
    <row r="15" spans="1:7" x14ac:dyDescent="0.3">
      <c r="A15" s="164">
        <v>45170</v>
      </c>
      <c r="B15" s="39">
        <v>169733900.40000001</v>
      </c>
      <c r="F15" s="39"/>
      <c r="G15" s="39" t="e">
        <f>(Table31[[#This Row],[Column1]]-Table31[[#This Row],[Forecast]])/Table31[[#This Row],[Forecast]]</f>
        <v>#DIV/0!</v>
      </c>
    </row>
    <row r="16" spans="1:7" x14ac:dyDescent="0.3">
      <c r="A16" s="164">
        <v>45200</v>
      </c>
      <c r="B16" s="39">
        <v>145463723.53999999</v>
      </c>
      <c r="F16" s="39"/>
      <c r="G16" s="39" t="e">
        <f>(Table31[[#This Row],[Column1]]-Table31[[#This Row],[Forecast]])/Table31[[#This Row],[Forecast]]</f>
        <v>#DIV/0!</v>
      </c>
    </row>
    <row r="17" spans="1:7" x14ac:dyDescent="0.3">
      <c r="A17" s="164">
        <v>45231</v>
      </c>
      <c r="B17" s="39">
        <v>145818937.69</v>
      </c>
      <c r="F17" s="39"/>
      <c r="G17" s="39" t="e">
        <f>(Table31[[#This Row],[Column1]]-Table31[[#This Row],[Forecast]])/Table31[[#This Row],[Forecast]]</f>
        <v>#DIV/0!</v>
      </c>
    </row>
    <row r="18" spans="1:7" x14ac:dyDescent="0.3">
      <c r="A18" s="164">
        <v>45261</v>
      </c>
      <c r="B18" s="39">
        <v>134855203.44</v>
      </c>
      <c r="F18" s="39"/>
      <c r="G18" s="39" t="e">
        <f>(Table31[[#This Row],[Column1]]-Table31[[#This Row],[Forecast]])/Table31[[#This Row],[Forecast]]</f>
        <v>#DIV/0!</v>
      </c>
    </row>
    <row r="19" spans="1:7" x14ac:dyDescent="0.3">
      <c r="A19" s="164">
        <v>45292</v>
      </c>
      <c r="B19" s="39">
        <v>136886068.88</v>
      </c>
      <c r="F19" s="39"/>
      <c r="G19" s="39" t="e">
        <f>(Table31[[#This Row],[Column1]]-Table31[[#This Row],[Forecast]])/Table31[[#This Row],[Forecast]]</f>
        <v>#DIV/0!</v>
      </c>
    </row>
    <row r="20" spans="1:7" x14ac:dyDescent="0.3">
      <c r="A20" s="164">
        <v>45323</v>
      </c>
      <c r="B20" s="39">
        <v>148929316.33000001</v>
      </c>
      <c r="F20" s="39"/>
      <c r="G20" s="39" t="e">
        <f>(Table31[[#This Row],[Column1]]-Table31[[#This Row],[Forecast]])/Table31[[#This Row],[Forecast]]</f>
        <v>#DIV/0!</v>
      </c>
    </row>
    <row r="21" spans="1:7" x14ac:dyDescent="0.3">
      <c r="A21" s="164">
        <v>45352</v>
      </c>
      <c r="B21" s="39">
        <v>142234975.59</v>
      </c>
      <c r="F21" s="39"/>
      <c r="G21" s="39" t="e">
        <f>(Table31[[#This Row],[Column1]]-Table31[[#This Row],[Forecast]])/Table31[[#This Row],[Forecast]]</f>
        <v>#DIV/0!</v>
      </c>
    </row>
    <row r="22" spans="1:7" x14ac:dyDescent="0.3">
      <c r="A22" s="164">
        <v>45383</v>
      </c>
      <c r="B22" s="39">
        <v>147726850.22</v>
      </c>
      <c r="F22" s="39"/>
      <c r="G22" s="39" t="e">
        <f>(Table31[[#This Row],[Column1]]-Table31[[#This Row],[Forecast]])/Table31[[#This Row],[Forecast]]</f>
        <v>#DIV/0!</v>
      </c>
    </row>
    <row r="23" spans="1:7" x14ac:dyDescent="0.3">
      <c r="A23" s="164">
        <v>45413</v>
      </c>
      <c r="B23" s="39">
        <v>146700542.5</v>
      </c>
      <c r="F23" s="39"/>
      <c r="G23" s="39" t="e">
        <f>(Table31[[#This Row],[Column1]]-Table31[[#This Row],[Forecast]])/Table31[[#This Row],[Forecast]]</f>
        <v>#DIV/0!</v>
      </c>
    </row>
    <row r="24" spans="1:7" ht="15" thickBot="1" x14ac:dyDescent="0.35">
      <c r="A24" s="164">
        <v>45444</v>
      </c>
      <c r="B24" s="39">
        <v>261527970.63999999</v>
      </c>
      <c r="C24" s="39">
        <v>261527970.63999999</v>
      </c>
      <c r="D24" s="39">
        <v>261527970.63999999</v>
      </c>
      <c r="E24" s="39">
        <v>261527970.63999999</v>
      </c>
      <c r="F24" s="39"/>
      <c r="G24" s="39">
        <f>(Table31[[#This Row],[Column1]]-Table31[[#This Row],[Forecast]])/Table31[[#This Row],[Forecast]]</f>
        <v>-1</v>
      </c>
    </row>
    <row r="25" spans="1:7" ht="15" thickBot="1" x14ac:dyDescent="0.35">
      <c r="A25" s="164">
        <v>45475</v>
      </c>
      <c r="C25" s="39">
        <f t="shared" ref="C25:C37" si="0">_xlfn.FORECAST.ETS(A25,$B$2:$B$24,$A$2:$A$24,1,1)</f>
        <v>263311052.23226824</v>
      </c>
      <c r="D25" s="39">
        <f t="shared" ref="D25:D37" si="1">C25-_xlfn.FORECAST.ETS.CONFINT(A25,$B$2:$B$24,$A$2:$A$24,0.95,1,1)</f>
        <v>160968375.84868139</v>
      </c>
      <c r="E25" s="39">
        <f t="shared" ref="E25:E37" si="2">C25+_xlfn.FORECAST.ETS.CONFINT(A25,$B$2:$B$24,$A$2:$A$24,0.95,1,1)</f>
        <v>365653728.6158551</v>
      </c>
      <c r="F25" s="213">
        <v>308892054.16000003</v>
      </c>
      <c r="G25" s="215">
        <f>(Table31[[#This Row],[Column1]]-Table31[[#This Row],[Forecast]])/Table31[[#This Row],[Forecast]]</f>
        <v>0.17310705927954939</v>
      </c>
    </row>
    <row r="26" spans="1:7" ht="15" thickBot="1" x14ac:dyDescent="0.35">
      <c r="A26" s="164">
        <v>45506</v>
      </c>
      <c r="C26" s="39">
        <f t="shared" si="0"/>
        <v>265038412.5247781</v>
      </c>
      <c r="D26" s="39">
        <f t="shared" si="1"/>
        <v>121505359.61256921</v>
      </c>
      <c r="E26" s="39">
        <f t="shared" si="2"/>
        <v>408571465.43698698</v>
      </c>
      <c r="F26" s="213">
        <v>296927274.94999999</v>
      </c>
      <c r="G26" s="215">
        <f>(Table31[[#This Row],[Column1]]-Table31[[#This Row],[Forecast]])/Table31[[#This Row],[Forecast]]</f>
        <v>0.12031788947664573</v>
      </c>
    </row>
    <row r="27" spans="1:7" ht="15" thickBot="1" x14ac:dyDescent="0.35">
      <c r="A27" s="164">
        <v>45537</v>
      </c>
      <c r="C27" s="39">
        <f t="shared" si="0"/>
        <v>266767630.1939466</v>
      </c>
      <c r="D27" s="39">
        <f t="shared" si="1"/>
        <v>91380431.976639152</v>
      </c>
      <c r="E27" s="39">
        <f t="shared" si="2"/>
        <v>442154828.41125405</v>
      </c>
      <c r="F27" s="213">
        <v>187906578.78</v>
      </c>
      <c r="G27" s="215">
        <f>(Table31[[#This Row],[Column1]]-Table31[[#This Row],[Forecast]])/Table31[[#This Row],[Forecast]]</f>
        <v>-0.29561701828896064</v>
      </c>
    </row>
    <row r="28" spans="1:7" ht="15" thickBot="1" x14ac:dyDescent="0.35">
      <c r="A28" s="164">
        <v>45568</v>
      </c>
      <c r="C28" s="39">
        <f t="shared" si="0"/>
        <v>268548854.40955621</v>
      </c>
      <c r="D28" s="39">
        <f t="shared" si="1"/>
        <v>65456054.879431158</v>
      </c>
      <c r="E28" s="39">
        <f t="shared" si="2"/>
        <v>471641653.93968129</v>
      </c>
      <c r="F28" s="213">
        <v>158400595.19</v>
      </c>
      <c r="G28" s="215">
        <f>(Table31[[#This Row],[Column1]]-Table31[[#This Row],[Forecast]])/Table31[[#This Row],[Forecast]]</f>
        <v>-0.41016097224370296</v>
      </c>
    </row>
    <row r="29" spans="1:7" x14ac:dyDescent="0.3">
      <c r="A29" s="164">
        <v>45599</v>
      </c>
      <c r="C29" s="39">
        <f t="shared" si="0"/>
        <v>270279929.45538336</v>
      </c>
      <c r="D29" s="39">
        <f t="shared" si="1"/>
        <v>43436535.812124431</v>
      </c>
      <c r="E29" s="39">
        <f t="shared" si="2"/>
        <v>497123323.09864229</v>
      </c>
      <c r="F29" s="214">
        <v>162592307.16</v>
      </c>
      <c r="G29" s="215">
        <f>(Table31[[#This Row],[Column1]]-Table31[[#This Row],[Forecast]])/Table31[[#This Row],[Forecast]]</f>
        <v>-0.39842996301047934</v>
      </c>
    </row>
    <row r="30" spans="1:7" x14ac:dyDescent="0.3">
      <c r="A30" s="164">
        <v>45630</v>
      </c>
      <c r="C30" s="39">
        <f t="shared" si="0"/>
        <v>272059296.29433435</v>
      </c>
      <c r="D30" s="39">
        <f t="shared" si="1"/>
        <v>23110380.192115128</v>
      </c>
      <c r="E30" s="39">
        <f t="shared" si="2"/>
        <v>521008212.39655358</v>
      </c>
      <c r="F30" s="39"/>
      <c r="G30" s="215">
        <f>(Table31[[#This Row],[Column1]]-Table31[[#This Row],[Forecast]])/Table31[[#This Row],[Forecast]]</f>
        <v>-1</v>
      </c>
    </row>
    <row r="31" spans="1:7" x14ac:dyDescent="0.3">
      <c r="A31" s="164">
        <v>45661</v>
      </c>
      <c r="C31" s="39">
        <f t="shared" si="0"/>
        <v>273786656.58684421</v>
      </c>
      <c r="D31" s="39">
        <f t="shared" si="1"/>
        <v>5074504.1851840019</v>
      </c>
      <c r="E31" s="39">
        <f t="shared" si="2"/>
        <v>542498808.98850441</v>
      </c>
      <c r="F31" s="39"/>
      <c r="G31" s="215">
        <f>(Table31[[#This Row],[Column1]]-Table31[[#This Row],[Forecast]])/Table31[[#This Row],[Forecast]]</f>
        <v>-1</v>
      </c>
    </row>
    <row r="32" spans="1:7" x14ac:dyDescent="0.3">
      <c r="A32" s="164">
        <v>45692</v>
      </c>
      <c r="C32" s="39">
        <f t="shared" si="0"/>
        <v>275531927.29713362</v>
      </c>
      <c r="D32" s="39">
        <f t="shared" si="1"/>
        <v>-11807153.936090469</v>
      </c>
      <c r="E32" s="39">
        <f t="shared" si="2"/>
        <v>562871008.53035772</v>
      </c>
      <c r="F32" s="39"/>
      <c r="G32" s="215">
        <f>(Table31[[#This Row],[Column1]]-Table31[[#This Row],[Forecast]])/Table31[[#This Row],[Forecast]]</f>
        <v>-1</v>
      </c>
    </row>
    <row r="33" spans="1:7" x14ac:dyDescent="0.3">
      <c r="A33" s="164">
        <v>45723</v>
      </c>
      <c r="C33" s="39">
        <f t="shared" si="0"/>
        <v>277408541.07113916</v>
      </c>
      <c r="D33" s="39">
        <f t="shared" si="1"/>
        <v>-28736062.489112318</v>
      </c>
      <c r="E33" s="39">
        <f t="shared" si="2"/>
        <v>583553144.63139057</v>
      </c>
      <c r="F33" s="39"/>
      <c r="G33" s="215">
        <f>(Table31[[#This Row],[Column1]]-Table31[[#This Row],[Forecast]])/Table31[[#This Row],[Forecast]]</f>
        <v>-1</v>
      </c>
    </row>
    <row r="34" spans="1:7" x14ac:dyDescent="0.3">
      <c r="A34" s="164">
        <v>45754</v>
      </c>
      <c r="C34" s="39">
        <f t="shared" si="0"/>
        <v>279147045.62360072</v>
      </c>
      <c r="D34" s="39">
        <f t="shared" si="1"/>
        <v>-43474866.610176265</v>
      </c>
      <c r="E34" s="39">
        <f t="shared" si="2"/>
        <v>601768957.85737777</v>
      </c>
      <c r="F34" s="39"/>
      <c r="G34" s="215">
        <f>(Table31[[#This Row],[Column1]]-Table31[[#This Row],[Forecast]])/Table31[[#This Row],[Forecast]]</f>
        <v>-1</v>
      </c>
    </row>
    <row r="35" spans="1:7" x14ac:dyDescent="0.3">
      <c r="A35" s="164">
        <v>45785</v>
      </c>
      <c r="C35" s="39">
        <f t="shared" si="0"/>
        <v>280918982.9559173</v>
      </c>
      <c r="D35" s="39">
        <f t="shared" si="1"/>
        <v>-57704619.967401981</v>
      </c>
      <c r="E35" s="39">
        <f t="shared" si="2"/>
        <v>619542585.87923658</v>
      </c>
      <c r="F35" s="39"/>
      <c r="G35" s="215">
        <f>(Table31[[#This Row],[Column1]]-Table31[[#This Row],[Forecast]])/Table31[[#This Row],[Forecast]]</f>
        <v>-1</v>
      </c>
    </row>
    <row r="36" spans="1:7" x14ac:dyDescent="0.3">
      <c r="A36" s="164">
        <v>45816</v>
      </c>
      <c r="C36" s="39">
        <f t="shared" si="0"/>
        <v>282659344.88503742</v>
      </c>
      <c r="D36" s="39">
        <f t="shared" si="1"/>
        <v>-71006177.770265996</v>
      </c>
      <c r="E36" s="39">
        <f t="shared" si="2"/>
        <v>636324867.5403409</v>
      </c>
      <c r="F36" s="39"/>
      <c r="G36" s="215">
        <f>(Table31[[#This Row],[Column1]]-Table31[[#This Row],[Forecast]])/Table31[[#This Row],[Forecast]]</f>
        <v>-1</v>
      </c>
    </row>
    <row r="37" spans="1:7" x14ac:dyDescent="0.3">
      <c r="A37" s="164">
        <v>45838</v>
      </c>
      <c r="C37" s="39">
        <f t="shared" si="0"/>
        <v>283926075.76621139</v>
      </c>
      <c r="D37" s="39">
        <f t="shared" si="1"/>
        <v>-80313212.91330415</v>
      </c>
      <c r="E37" s="39">
        <f t="shared" si="2"/>
        <v>648165364.44572687</v>
      </c>
      <c r="F37" s="39"/>
      <c r="G37" s="215">
        <f>(Table31[[#This Row],[Column1]]-Table31[[#This Row],[Forecast]])/Table31[[#This Row],[Forecast]]</f>
        <v>-1</v>
      </c>
    </row>
  </sheetData>
  <phoneticPr fontId="28" type="noConversion"/>
  <pageMargins left="0.7" right="0.7" top="0.75" bottom="0.75" header="0.3" footer="0.3"/>
  <drawing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FDBD-BABD-4882-9804-D56697D96807}">
  <dimension ref="B2:H80"/>
  <sheetViews>
    <sheetView topLeftCell="A4" workbookViewId="0">
      <selection activeCell="I27" sqref="I27"/>
    </sheetView>
  </sheetViews>
  <sheetFormatPr defaultRowHeight="14.4" x14ac:dyDescent="0.3"/>
  <cols>
    <col min="2" max="2" width="13.77734375" bestFit="1" customWidth="1"/>
    <col min="3" max="3" width="23.77734375" customWidth="1"/>
    <col min="4" max="4" width="21.44140625" customWidth="1"/>
    <col min="5" max="5" width="37.21875" customWidth="1"/>
    <col min="6" max="6" width="28.21875" bestFit="1" customWidth="1"/>
    <col min="7" max="7" width="24.77734375" bestFit="1" customWidth="1"/>
    <col min="8" max="8" width="28.5546875" bestFit="1" customWidth="1"/>
  </cols>
  <sheetData>
    <row r="2" spans="2:8" ht="15" thickBot="1" x14ac:dyDescent="0.35">
      <c r="B2" s="2" t="s">
        <v>64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63</v>
      </c>
      <c r="H2" s="171" t="s">
        <v>167</v>
      </c>
    </row>
    <row r="3" spans="2:8" ht="15" thickBot="1" x14ac:dyDescent="0.35">
      <c r="B3" s="40">
        <v>44770</v>
      </c>
      <c r="C3" s="153">
        <v>235681175.28999999</v>
      </c>
      <c r="D3" s="153">
        <v>30604818.07</v>
      </c>
      <c r="E3" s="153">
        <v>174822.25</v>
      </c>
      <c r="F3" s="153">
        <v>2024387.74</v>
      </c>
      <c r="G3" s="154">
        <v>367664.46</v>
      </c>
      <c r="H3" s="157">
        <v>5325.02</v>
      </c>
    </row>
    <row r="4" spans="2:8" ht="15" thickBot="1" x14ac:dyDescent="0.35">
      <c r="B4" s="24">
        <v>44774</v>
      </c>
      <c r="C4" s="156">
        <v>181005407.11000001</v>
      </c>
      <c r="D4" s="157">
        <v>24414812.719999999</v>
      </c>
      <c r="E4" s="157">
        <v>174822.25</v>
      </c>
      <c r="F4" s="157">
        <v>1699672.37</v>
      </c>
      <c r="G4" s="158">
        <v>367664.46</v>
      </c>
      <c r="H4" s="157">
        <v>5558.01</v>
      </c>
    </row>
    <row r="5" spans="2:8" ht="15" thickBot="1" x14ac:dyDescent="0.35">
      <c r="B5" s="24">
        <v>44805</v>
      </c>
      <c r="C5" s="159">
        <v>120023709.54000001</v>
      </c>
      <c r="D5" s="160">
        <v>17411055.780000001</v>
      </c>
      <c r="E5" s="157">
        <v>169213.75</v>
      </c>
      <c r="F5" s="157">
        <v>1292769.57</v>
      </c>
      <c r="G5" s="158">
        <v>355804.32</v>
      </c>
      <c r="H5" s="157">
        <v>5558.01</v>
      </c>
    </row>
    <row r="6" spans="2:8" ht="15" thickBot="1" x14ac:dyDescent="0.35">
      <c r="B6" s="24">
        <v>44835</v>
      </c>
      <c r="C6" s="161">
        <v>120111620.78</v>
      </c>
      <c r="D6" s="157">
        <v>17618615.640000001</v>
      </c>
      <c r="E6" s="157">
        <v>186978.65</v>
      </c>
      <c r="F6" s="157">
        <v>1367633.36</v>
      </c>
      <c r="G6" s="158">
        <v>367664.46</v>
      </c>
      <c r="H6" s="157">
        <v>5378.02</v>
      </c>
    </row>
    <row r="7" spans="2:8" ht="15" thickBot="1" x14ac:dyDescent="0.35">
      <c r="B7" s="24">
        <v>44866</v>
      </c>
      <c r="C7" s="160">
        <v>118568754.98999999</v>
      </c>
      <c r="D7" s="157">
        <v>17173310.559999999</v>
      </c>
      <c r="E7" s="157">
        <v>178899</v>
      </c>
      <c r="F7" s="157">
        <v>1323999.3899999999</v>
      </c>
      <c r="G7" s="158">
        <v>355804.32</v>
      </c>
      <c r="H7" s="157">
        <v>6036.51</v>
      </c>
    </row>
    <row r="8" spans="2:8" ht="15" thickBot="1" x14ac:dyDescent="0.35">
      <c r="B8" s="24">
        <v>44896</v>
      </c>
      <c r="C8" s="160">
        <v>109712490.7</v>
      </c>
      <c r="D8" s="157">
        <v>16610246.67</v>
      </c>
      <c r="E8" s="157">
        <v>184681.88</v>
      </c>
      <c r="F8" s="157">
        <v>1337845.1200000001</v>
      </c>
      <c r="G8" s="158">
        <v>367664.46</v>
      </c>
      <c r="H8" s="157">
        <v>5378.02</v>
      </c>
    </row>
    <row r="9" spans="2:8" ht="15" thickBot="1" x14ac:dyDescent="0.35">
      <c r="B9" s="24">
        <v>44927</v>
      </c>
      <c r="C9" s="160">
        <v>119865906.34</v>
      </c>
      <c r="D9" s="157">
        <v>17282716.800000001</v>
      </c>
      <c r="E9" s="157">
        <v>184621.72</v>
      </c>
      <c r="F9" s="157">
        <v>1370942.86</v>
      </c>
      <c r="G9" s="158">
        <v>367664.46</v>
      </c>
      <c r="H9" s="157">
        <v>5558.01</v>
      </c>
    </row>
    <row r="10" spans="2:8" ht="15" thickBot="1" x14ac:dyDescent="0.35">
      <c r="B10" s="24">
        <v>44958</v>
      </c>
      <c r="C10" s="160">
        <v>112238319.48</v>
      </c>
      <c r="D10" s="157">
        <v>16263853.439999999</v>
      </c>
      <c r="E10" s="157">
        <v>168857.01</v>
      </c>
      <c r="F10" s="157">
        <v>1197886.95</v>
      </c>
      <c r="G10" s="158">
        <v>332084.03000000003</v>
      </c>
      <c r="H10" s="157">
        <v>5558.01</v>
      </c>
    </row>
    <row r="11" spans="2:8" ht="15" thickBot="1" x14ac:dyDescent="0.35">
      <c r="B11" s="24">
        <v>44986</v>
      </c>
      <c r="C11" s="160">
        <v>122813349.93000001</v>
      </c>
      <c r="D11" s="157">
        <v>18027266.600000001</v>
      </c>
      <c r="E11" s="157">
        <v>188652.27</v>
      </c>
      <c r="F11" s="157">
        <v>1325097.45</v>
      </c>
      <c r="G11" s="158">
        <v>367664.46</v>
      </c>
      <c r="H11" s="157">
        <v>5020.45</v>
      </c>
    </row>
    <row r="12" spans="2:8" ht="15" thickBot="1" x14ac:dyDescent="0.35">
      <c r="B12" s="24">
        <v>45017</v>
      </c>
      <c r="C12" s="160">
        <v>117572062.88</v>
      </c>
      <c r="D12" s="157">
        <v>16855917.859999999</v>
      </c>
      <c r="E12" s="157">
        <v>184346.12</v>
      </c>
      <c r="F12" s="157">
        <v>1203221.95</v>
      </c>
      <c r="G12" s="158">
        <v>355804.32</v>
      </c>
      <c r="H12" s="157">
        <v>5558.01</v>
      </c>
    </row>
    <row r="13" spans="2:8" ht="15" thickBot="1" x14ac:dyDescent="0.35">
      <c r="B13" s="24">
        <v>45047</v>
      </c>
      <c r="C13" s="160">
        <v>274666188.64999998</v>
      </c>
      <c r="D13" s="157">
        <v>24561691.23</v>
      </c>
      <c r="E13" s="157">
        <v>192309.12</v>
      </c>
      <c r="F13" s="157">
        <v>1614363.65</v>
      </c>
      <c r="G13" s="158">
        <v>367664.46</v>
      </c>
      <c r="H13" s="157">
        <v>5378.02</v>
      </c>
    </row>
    <row r="14" spans="2:8" ht="15" thickBot="1" x14ac:dyDescent="0.35">
      <c r="B14" s="25">
        <v>45078</v>
      </c>
      <c r="C14" s="160">
        <f>(27466618.65+233101081.59)</f>
        <v>260567700.24000001</v>
      </c>
      <c r="D14" s="162">
        <v>30970724.600000001</v>
      </c>
      <c r="E14" s="162">
        <v>198240.05</v>
      </c>
      <c r="F14" s="162">
        <v>1701108.08</v>
      </c>
      <c r="G14" s="158">
        <v>360909.68</v>
      </c>
      <c r="H14" s="175">
        <v>6459.11</v>
      </c>
    </row>
    <row r="15" spans="2:8" ht="15" thickBot="1" x14ac:dyDescent="0.35">
      <c r="B15" s="24">
        <v>45108</v>
      </c>
      <c r="C15" s="160">
        <v>277013750.64999998</v>
      </c>
      <c r="D15" s="157">
        <v>34510758.18</v>
      </c>
      <c r="E15" s="157">
        <v>200679.52</v>
      </c>
      <c r="F15" s="157">
        <v>2040526.34</v>
      </c>
      <c r="G15" s="158">
        <v>398345.71</v>
      </c>
      <c r="H15" s="157">
        <v>6850.58</v>
      </c>
    </row>
    <row r="16" spans="2:8" ht="15" thickBot="1" x14ac:dyDescent="0.35">
      <c r="B16" s="25">
        <v>45139</v>
      </c>
      <c r="C16" s="160">
        <v>263433752.09</v>
      </c>
      <c r="D16" s="162">
        <v>36859941.710000001</v>
      </c>
      <c r="E16" s="162">
        <v>226112.85</v>
      </c>
      <c r="F16" s="162">
        <v>2169130.79</v>
      </c>
      <c r="G16" s="158">
        <v>488418.01</v>
      </c>
      <c r="H16" s="175">
        <v>7152.71</v>
      </c>
    </row>
    <row r="17" spans="2:8" ht="15" thickBot="1" x14ac:dyDescent="0.35">
      <c r="B17" s="24">
        <v>45170</v>
      </c>
      <c r="C17" s="160">
        <v>169733900.40000001</v>
      </c>
      <c r="D17" s="157">
        <v>30015297.140000001</v>
      </c>
      <c r="E17" s="157">
        <v>9069.6</v>
      </c>
      <c r="F17" s="157">
        <v>1814162.73</v>
      </c>
      <c r="G17" s="158">
        <v>457891.88</v>
      </c>
      <c r="H17" s="157">
        <v>7152.71</v>
      </c>
    </row>
    <row r="18" spans="2:8" ht="15" thickBot="1" x14ac:dyDescent="0.35">
      <c r="B18" s="25">
        <v>45200</v>
      </c>
      <c r="C18" s="160">
        <v>145463723.53999999</v>
      </c>
      <c r="D18" s="162">
        <v>20935898.120000001</v>
      </c>
      <c r="E18" s="162">
        <v>226112.85</v>
      </c>
      <c r="F18" s="162">
        <v>1508022.87</v>
      </c>
      <c r="G18" s="158">
        <v>457891.88</v>
      </c>
      <c r="H18" s="175">
        <v>6921.08</v>
      </c>
    </row>
    <row r="19" spans="2:8" ht="15" thickBot="1" x14ac:dyDescent="0.35">
      <c r="B19" s="24">
        <v>45231</v>
      </c>
      <c r="C19" s="160">
        <v>145818937.69</v>
      </c>
      <c r="D19" s="157">
        <v>21463368.100000001</v>
      </c>
      <c r="E19" s="157">
        <v>226112.85</v>
      </c>
      <c r="F19" s="157">
        <v>1607158.78</v>
      </c>
      <c r="G19" s="158">
        <v>473154.95</v>
      </c>
      <c r="H19" s="157">
        <v>7152.71</v>
      </c>
    </row>
    <row r="20" spans="2:8" ht="15" thickBot="1" x14ac:dyDescent="0.35">
      <c r="B20" s="25">
        <v>45261</v>
      </c>
      <c r="C20" s="160">
        <v>134855203.44</v>
      </c>
      <c r="D20" s="162">
        <v>20804855.030000001</v>
      </c>
      <c r="E20" s="162">
        <v>226469.65</v>
      </c>
      <c r="F20" s="162">
        <v>1491775.71</v>
      </c>
      <c r="G20" s="158">
        <v>457891.88</v>
      </c>
      <c r="H20" s="175">
        <v>6921.08</v>
      </c>
    </row>
    <row r="21" spans="2:8" ht="15" thickBot="1" x14ac:dyDescent="0.35">
      <c r="B21" s="24">
        <v>45292</v>
      </c>
      <c r="C21" s="160">
        <v>136886068.88</v>
      </c>
      <c r="D21" s="157">
        <v>19649773.460000001</v>
      </c>
      <c r="E21" s="157">
        <v>226112.85</v>
      </c>
      <c r="F21" s="157">
        <v>1670179.93</v>
      </c>
      <c r="G21" s="158">
        <v>473154.95</v>
      </c>
      <c r="H21" s="157">
        <v>7152.71</v>
      </c>
    </row>
    <row r="22" spans="2:8" ht="15" thickBot="1" x14ac:dyDescent="0.35">
      <c r="B22" s="24">
        <v>45323</v>
      </c>
      <c r="C22" s="160">
        <v>148929316.33000001</v>
      </c>
      <c r="D22" s="157">
        <v>21436355.960000001</v>
      </c>
      <c r="E22" s="157">
        <v>226112.85</v>
      </c>
      <c r="F22" s="157">
        <v>1528943.38</v>
      </c>
      <c r="G22" s="158">
        <v>473154.95</v>
      </c>
      <c r="H22" s="157">
        <v>7152.71</v>
      </c>
    </row>
    <row r="23" spans="2:8" ht="15" thickBot="1" x14ac:dyDescent="0.35">
      <c r="B23" s="24">
        <v>45352</v>
      </c>
      <c r="C23" s="160">
        <v>142234975.59</v>
      </c>
      <c r="D23" s="198">
        <v>20560323.129999999</v>
      </c>
      <c r="E23" s="198">
        <v>211677.75</v>
      </c>
      <c r="F23" s="198">
        <v>1489208.27</v>
      </c>
      <c r="G23" s="199">
        <v>442628.82</v>
      </c>
      <c r="H23" s="198">
        <v>6691</v>
      </c>
    </row>
    <row r="24" spans="2:8" ht="15" thickBot="1" x14ac:dyDescent="0.35">
      <c r="B24" s="25">
        <v>45383</v>
      </c>
      <c r="C24" s="160">
        <v>147726850.22</v>
      </c>
      <c r="D24" s="198">
        <v>20990117.309999999</v>
      </c>
      <c r="E24" s="198">
        <v>226112.85</v>
      </c>
      <c r="F24" s="198">
        <v>1566718.19</v>
      </c>
      <c r="G24" s="199">
        <v>473154.95</v>
      </c>
      <c r="H24" s="198">
        <v>7152.71</v>
      </c>
    </row>
    <row r="25" spans="2:8" ht="15" thickBot="1" x14ac:dyDescent="0.35">
      <c r="B25" s="24">
        <v>45413</v>
      </c>
      <c r="C25" s="160">
        <v>146700542.5</v>
      </c>
      <c r="D25" s="160">
        <v>21185443.989999998</v>
      </c>
      <c r="E25" s="160">
        <v>218895.3</v>
      </c>
      <c r="F25" s="160">
        <v>1591319.64</v>
      </c>
      <c r="G25" s="160">
        <v>457891.88</v>
      </c>
      <c r="H25" s="160">
        <v>6921.08</v>
      </c>
    </row>
    <row r="26" spans="2:8" ht="15" thickBot="1" x14ac:dyDescent="0.35">
      <c r="B26" s="194">
        <v>45444</v>
      </c>
      <c r="C26" s="160">
        <v>261527970.63999999</v>
      </c>
      <c r="D26" s="160">
        <v>30453567.859999999</v>
      </c>
      <c r="E26" s="160">
        <v>233330.4</v>
      </c>
      <c r="F26" s="160">
        <v>2097673.12</v>
      </c>
      <c r="G26" s="160">
        <v>473154.95</v>
      </c>
      <c r="H26" s="160">
        <v>7152.71</v>
      </c>
    </row>
    <row r="27" spans="2:8" ht="15" thickBot="1" x14ac:dyDescent="0.35">
      <c r="B27" s="194">
        <v>45474</v>
      </c>
      <c r="C27" s="160"/>
      <c r="D27" s="160">
        <v>36471456.740000002</v>
      </c>
      <c r="E27" s="160">
        <v>224675.87</v>
      </c>
      <c r="F27" s="160">
        <v>2583645.4500000002</v>
      </c>
      <c r="G27" s="160">
        <v>467596.98</v>
      </c>
      <c r="H27" s="160">
        <v>7744.28</v>
      </c>
    </row>
    <row r="28" spans="2:8" ht="15" thickBot="1" x14ac:dyDescent="0.35">
      <c r="B28" s="194">
        <v>45505</v>
      </c>
      <c r="C28" s="160"/>
      <c r="D28" s="160">
        <v>42635932.229999997</v>
      </c>
      <c r="E28" s="160">
        <v>254873.98</v>
      </c>
      <c r="F28" s="160">
        <v>2951042.5</v>
      </c>
      <c r="G28" s="160">
        <v>550530.6</v>
      </c>
      <c r="H28" s="160">
        <v>8062.33</v>
      </c>
    </row>
    <row r="29" spans="2:8" ht="15" thickBot="1" x14ac:dyDescent="0.35">
      <c r="B29" s="194">
        <v>45536</v>
      </c>
      <c r="C29" s="160"/>
      <c r="D29" s="160">
        <v>32930432.5</v>
      </c>
      <c r="E29" s="160">
        <v>254873.98</v>
      </c>
      <c r="F29" s="160">
        <v>2385073.5699999998</v>
      </c>
      <c r="G29" s="160">
        <v>516122.44</v>
      </c>
      <c r="H29" s="160">
        <v>8062.33</v>
      </c>
    </row>
    <row r="30" spans="2:8" ht="15" thickBot="1" x14ac:dyDescent="0.35">
      <c r="B30" s="194">
        <v>45566</v>
      </c>
      <c r="C30" s="160"/>
      <c r="D30" s="160">
        <v>23911952.460000001</v>
      </c>
      <c r="E30" s="160">
        <v>246738.36</v>
      </c>
      <c r="F30" s="160">
        <v>1765172.1</v>
      </c>
      <c r="G30" s="160">
        <v>516122.44</v>
      </c>
      <c r="H30" s="160">
        <v>7801.24</v>
      </c>
    </row>
    <row r="31" spans="2:8" ht="15" thickBot="1" x14ac:dyDescent="0.35">
      <c r="B31" s="194">
        <v>45597</v>
      </c>
      <c r="C31" s="160"/>
      <c r="D31" s="160">
        <v>24177668.98</v>
      </c>
      <c r="E31" s="160">
        <v>254873.98</v>
      </c>
      <c r="F31" s="160">
        <v>1873528.83</v>
      </c>
      <c r="G31" s="160">
        <v>533326.52</v>
      </c>
      <c r="H31" s="160">
        <v>8062.33</v>
      </c>
    </row>
    <row r="32" spans="2:8" ht="15" thickBot="1" x14ac:dyDescent="0.35">
      <c r="B32" s="194">
        <v>45627</v>
      </c>
      <c r="C32" s="160"/>
      <c r="D32" s="160"/>
      <c r="E32" s="160"/>
      <c r="F32" s="160"/>
      <c r="G32" s="160"/>
      <c r="H32" s="160"/>
    </row>
    <row r="33" spans="2:8" ht="15" thickBot="1" x14ac:dyDescent="0.35">
      <c r="B33" s="194">
        <v>45658</v>
      </c>
      <c r="C33" s="160"/>
      <c r="D33" s="162"/>
      <c r="E33" s="162"/>
      <c r="F33" s="162"/>
      <c r="G33" s="158"/>
      <c r="H33" s="157"/>
    </row>
    <row r="34" spans="2:8" ht="15" thickBot="1" x14ac:dyDescent="0.35">
      <c r="B34" s="194">
        <v>45689</v>
      </c>
      <c r="C34" s="160"/>
      <c r="D34" s="175"/>
      <c r="E34" s="175"/>
      <c r="F34" s="175"/>
      <c r="G34" s="158"/>
      <c r="H34" s="157"/>
    </row>
    <row r="35" spans="2:8" ht="15" thickBot="1" x14ac:dyDescent="0.35">
      <c r="B35" s="194">
        <v>45717</v>
      </c>
      <c r="C35" s="160"/>
      <c r="D35" s="175"/>
      <c r="E35" s="175"/>
      <c r="F35" s="175"/>
      <c r="G35" s="158"/>
      <c r="H35" s="157"/>
    </row>
    <row r="36" spans="2:8" ht="15" thickBot="1" x14ac:dyDescent="0.35">
      <c r="B36" s="194">
        <v>45748</v>
      </c>
      <c r="C36" s="160"/>
      <c r="D36" s="175"/>
      <c r="E36" s="175"/>
      <c r="F36" s="175"/>
      <c r="G36" s="158"/>
      <c r="H36" s="157"/>
    </row>
    <row r="37" spans="2:8" ht="15" thickBot="1" x14ac:dyDescent="0.35">
      <c r="B37" s="194">
        <v>45778</v>
      </c>
      <c r="C37" s="160"/>
      <c r="D37" s="175"/>
      <c r="E37" s="175"/>
      <c r="F37" s="175"/>
      <c r="G37" s="158"/>
      <c r="H37" s="157"/>
    </row>
    <row r="38" spans="2:8" ht="15" thickBot="1" x14ac:dyDescent="0.35">
      <c r="B38" s="194">
        <v>45809</v>
      </c>
      <c r="C38" s="160"/>
      <c r="D38" s="175"/>
      <c r="E38" s="175"/>
      <c r="F38" s="175"/>
      <c r="G38" s="158"/>
      <c r="H38" s="157"/>
    </row>
    <row r="42" spans="2:8" ht="15" thickBot="1" x14ac:dyDescent="0.35"/>
    <row r="43" spans="2:8" ht="15" thickBot="1" x14ac:dyDescent="0.35">
      <c r="B43" s="1" t="s">
        <v>1</v>
      </c>
      <c r="C43" s="2" t="s">
        <v>9</v>
      </c>
      <c r="D43" s="3" t="s">
        <v>10</v>
      </c>
      <c r="E43" s="3" t="s">
        <v>11</v>
      </c>
      <c r="F43" s="3" t="s">
        <v>12</v>
      </c>
    </row>
    <row r="44" spans="2:8" ht="15" thickBot="1" x14ac:dyDescent="0.35">
      <c r="B44" s="40">
        <v>44770</v>
      </c>
      <c r="C44" s="153">
        <v>479568.92</v>
      </c>
      <c r="D44" s="153">
        <v>2309624.84</v>
      </c>
      <c r="E44" s="153">
        <v>746554.87</v>
      </c>
      <c r="F44" s="153">
        <v>200885.71</v>
      </c>
    </row>
    <row r="45" spans="2:8" ht="15" thickBot="1" x14ac:dyDescent="0.35">
      <c r="B45" s="24">
        <v>44774</v>
      </c>
      <c r="C45" s="160">
        <v>402375.18</v>
      </c>
      <c r="D45" s="160">
        <v>1806513.44</v>
      </c>
      <c r="E45" s="160">
        <v>55660.49</v>
      </c>
      <c r="F45" s="160">
        <v>160001.72</v>
      </c>
    </row>
    <row r="46" spans="2:8" ht="15" thickBot="1" x14ac:dyDescent="0.35">
      <c r="B46" s="24">
        <v>44805</v>
      </c>
      <c r="C46" s="160">
        <v>315232.21000000002</v>
      </c>
      <c r="D46" s="160">
        <v>1181240.83</v>
      </c>
      <c r="E46" s="160">
        <v>378209.18</v>
      </c>
      <c r="F46" s="160">
        <v>123004.43</v>
      </c>
    </row>
    <row r="47" spans="2:8" ht="15" thickBot="1" x14ac:dyDescent="0.35">
      <c r="B47" s="24">
        <v>44835</v>
      </c>
      <c r="C47" s="160">
        <v>322014.64</v>
      </c>
      <c r="D47" s="160">
        <v>1139273.93</v>
      </c>
      <c r="E47" s="160">
        <v>367856.03</v>
      </c>
      <c r="F47" s="160">
        <v>120148.05</v>
      </c>
    </row>
    <row r="48" spans="2:8" ht="15" thickBot="1" x14ac:dyDescent="0.35">
      <c r="B48" s="24">
        <v>44866</v>
      </c>
      <c r="C48" s="160">
        <v>303310.43</v>
      </c>
      <c r="D48" s="160">
        <v>1067844.3899999999</v>
      </c>
      <c r="E48" s="160">
        <v>363672.71</v>
      </c>
      <c r="F48" s="160">
        <v>118978.53</v>
      </c>
    </row>
    <row r="49" spans="2:6" ht="15" thickBot="1" x14ac:dyDescent="0.35">
      <c r="B49" s="24">
        <v>44896</v>
      </c>
      <c r="C49" s="160">
        <v>320377.34999999998</v>
      </c>
      <c r="D49" s="160">
        <v>1099126.3899999999</v>
      </c>
      <c r="E49" s="160">
        <v>376025.65</v>
      </c>
      <c r="F49" s="160">
        <v>138663.49</v>
      </c>
    </row>
    <row r="50" spans="2:6" ht="15" thickBot="1" x14ac:dyDescent="0.35">
      <c r="B50" s="24">
        <v>44927</v>
      </c>
      <c r="C50" s="160">
        <v>312570.65000000002</v>
      </c>
      <c r="D50" s="160">
        <v>1087559.46</v>
      </c>
      <c r="E50" s="160">
        <v>385650.5</v>
      </c>
      <c r="F50" s="160">
        <v>125906.76</v>
      </c>
    </row>
    <row r="51" spans="2:6" ht="15" thickBot="1" x14ac:dyDescent="0.35">
      <c r="B51" s="24">
        <v>44958</v>
      </c>
      <c r="C51" s="160">
        <v>294309.82</v>
      </c>
      <c r="D51" s="160">
        <v>1018157.39</v>
      </c>
      <c r="E51" s="160">
        <v>343665.27</v>
      </c>
      <c r="F51" s="160">
        <v>116840.05</v>
      </c>
    </row>
    <row r="52" spans="2:6" ht="15" thickBot="1" x14ac:dyDescent="0.35">
      <c r="B52" s="24">
        <v>44986</v>
      </c>
      <c r="C52" s="160">
        <v>335307.18</v>
      </c>
      <c r="D52" s="160">
        <v>1145003.44</v>
      </c>
      <c r="E52" s="160">
        <v>390565.64</v>
      </c>
      <c r="F52" s="160">
        <v>132329.51999999999</v>
      </c>
    </row>
    <row r="53" spans="2:6" ht="15" thickBot="1" x14ac:dyDescent="0.35">
      <c r="B53" s="24">
        <v>45017</v>
      </c>
      <c r="C53" s="160">
        <v>344778.29</v>
      </c>
      <c r="D53" s="160">
        <v>1211714.75</v>
      </c>
      <c r="E53" s="160">
        <v>400085.86</v>
      </c>
      <c r="F53" s="160">
        <v>130717.9</v>
      </c>
    </row>
    <row r="54" spans="2:6" ht="15" thickBot="1" x14ac:dyDescent="0.35">
      <c r="B54" s="24">
        <v>45047</v>
      </c>
      <c r="C54" s="160">
        <v>432983.97</v>
      </c>
      <c r="D54" s="160">
        <v>1801431.71</v>
      </c>
      <c r="E54" s="160">
        <v>589151.01</v>
      </c>
      <c r="F54" s="160">
        <v>162216.93</v>
      </c>
    </row>
    <row r="55" spans="2:6" ht="15" thickBot="1" x14ac:dyDescent="0.35">
      <c r="B55" s="24">
        <v>45078</v>
      </c>
      <c r="C55" s="160">
        <v>491744.23</v>
      </c>
      <c r="D55" s="160">
        <v>1871990.03</v>
      </c>
      <c r="E55" s="160">
        <v>629495.80000000005</v>
      </c>
      <c r="F55" s="160">
        <v>113345.57</v>
      </c>
    </row>
    <row r="56" spans="2:6" ht="15" thickBot="1" x14ac:dyDescent="0.35">
      <c r="B56" s="24">
        <v>45108</v>
      </c>
      <c r="C56" s="160">
        <v>568340.36</v>
      </c>
      <c r="D56" s="160">
        <v>2045818.2</v>
      </c>
      <c r="E56" s="160">
        <v>719682.76</v>
      </c>
      <c r="F56" s="160">
        <v>125582.37</v>
      </c>
    </row>
    <row r="57" spans="2:6" ht="15" thickBot="1" x14ac:dyDescent="0.35">
      <c r="B57" s="24">
        <v>45139</v>
      </c>
      <c r="C57" s="160">
        <v>626577.21</v>
      </c>
      <c r="D57" s="160">
        <v>2315972.88</v>
      </c>
      <c r="E57" s="160">
        <v>753683.85</v>
      </c>
      <c r="F57" s="160">
        <v>136449.21</v>
      </c>
    </row>
    <row r="58" spans="2:6" ht="15" thickBot="1" x14ac:dyDescent="0.35">
      <c r="B58" s="24">
        <v>45170</v>
      </c>
      <c r="C58" s="160">
        <v>513651.61</v>
      </c>
      <c r="D58" s="160">
        <v>1822834.98</v>
      </c>
      <c r="E58" s="160">
        <v>593811.19999999995</v>
      </c>
      <c r="F58" s="160">
        <v>111098.58</v>
      </c>
    </row>
    <row r="59" spans="2:6" ht="15" thickBot="1" x14ac:dyDescent="0.35">
      <c r="B59" s="24">
        <v>45200</v>
      </c>
      <c r="C59" s="160">
        <v>388035.79</v>
      </c>
      <c r="D59" s="160">
        <v>1252527.55</v>
      </c>
      <c r="E59" s="160">
        <v>442264.63</v>
      </c>
      <c r="F59" s="160">
        <v>90769.68</v>
      </c>
    </row>
    <row r="60" spans="2:6" ht="15" thickBot="1" x14ac:dyDescent="0.35">
      <c r="B60" s="24">
        <v>45231</v>
      </c>
      <c r="C60" s="160">
        <v>400268.64</v>
      </c>
      <c r="D60" s="160">
        <v>1241748.8500000001</v>
      </c>
      <c r="E60" s="160">
        <v>434686.12</v>
      </c>
      <c r="F60" s="160">
        <v>93090.97</v>
      </c>
    </row>
    <row r="61" spans="2:6" ht="15" thickBot="1" x14ac:dyDescent="0.35">
      <c r="B61" s="24">
        <v>45261</v>
      </c>
      <c r="C61" s="160">
        <v>385329.89</v>
      </c>
      <c r="D61" s="160">
        <v>1123553.17</v>
      </c>
      <c r="E61" s="160">
        <v>393899.63</v>
      </c>
      <c r="F61" s="160">
        <v>84292.02</v>
      </c>
    </row>
    <row r="62" spans="2:6" ht="15" thickBot="1" x14ac:dyDescent="0.35">
      <c r="B62" s="24">
        <v>45292</v>
      </c>
      <c r="C62" s="160">
        <v>373294.45</v>
      </c>
      <c r="D62" s="160">
        <v>1181231.69</v>
      </c>
      <c r="E62" s="160">
        <v>428519.49</v>
      </c>
      <c r="F62" s="160">
        <v>95178.14</v>
      </c>
    </row>
    <row r="63" spans="2:6" ht="15" thickBot="1" x14ac:dyDescent="0.35">
      <c r="B63" s="24">
        <v>45323</v>
      </c>
      <c r="C63" s="160">
        <v>389534.63</v>
      </c>
      <c r="D63" s="160">
        <v>1268508.8</v>
      </c>
      <c r="E63" s="160">
        <v>441367.84</v>
      </c>
      <c r="F63" s="160">
        <v>94759.56</v>
      </c>
    </row>
    <row r="64" spans="2:6" ht="15" thickBot="1" x14ac:dyDescent="0.35">
      <c r="B64" s="24">
        <v>45352</v>
      </c>
      <c r="C64" s="160">
        <v>366958.82</v>
      </c>
      <c r="D64" s="160">
        <v>1242066.78</v>
      </c>
      <c r="E64" s="160">
        <v>401277.77</v>
      </c>
      <c r="F64" s="160">
        <v>89932.05</v>
      </c>
    </row>
    <row r="65" spans="2:6" ht="15" thickBot="1" x14ac:dyDescent="0.35">
      <c r="B65" s="24">
        <v>45383</v>
      </c>
      <c r="C65" s="160">
        <v>376887.42</v>
      </c>
      <c r="D65" s="160">
        <v>1342815.23</v>
      </c>
      <c r="E65" s="160">
        <v>459717.58</v>
      </c>
      <c r="F65" s="160">
        <v>99152.47</v>
      </c>
    </row>
    <row r="66" spans="2:6" ht="15" thickBot="1" x14ac:dyDescent="0.35">
      <c r="B66" s="24">
        <v>45413</v>
      </c>
      <c r="C66" s="160">
        <v>380862.84</v>
      </c>
      <c r="D66" s="160">
        <v>1396011.57</v>
      </c>
      <c r="E66" s="160">
        <v>469291.57</v>
      </c>
      <c r="F66" s="160">
        <v>94527.360000000001</v>
      </c>
    </row>
    <row r="67" spans="2:6" ht="15" thickBot="1" x14ac:dyDescent="0.35">
      <c r="B67" s="24">
        <v>45444</v>
      </c>
      <c r="C67" s="160">
        <v>460757.95</v>
      </c>
      <c r="D67" s="160">
        <v>1984901.93</v>
      </c>
      <c r="E67" s="160">
        <v>678085.44</v>
      </c>
      <c r="F67" s="160">
        <v>129020.13</v>
      </c>
    </row>
    <row r="68" spans="2:6" ht="15" thickBot="1" x14ac:dyDescent="0.35">
      <c r="B68" s="24">
        <v>45474</v>
      </c>
      <c r="C68" s="191">
        <v>512614.61</v>
      </c>
      <c r="D68" s="191">
        <v>2210945.39</v>
      </c>
      <c r="E68" s="191">
        <v>831567.22</v>
      </c>
      <c r="F68" s="191">
        <v>150836.26</v>
      </c>
    </row>
    <row r="69" spans="2:6" ht="15" thickBot="1" x14ac:dyDescent="0.35">
      <c r="B69" s="24">
        <v>45505</v>
      </c>
      <c r="C69" s="191">
        <v>512614.61</v>
      </c>
      <c r="D69" s="191">
        <v>2210945.39</v>
      </c>
      <c r="E69" s="191">
        <v>831567.22</v>
      </c>
      <c r="F69" s="191">
        <v>167575.67000000001</v>
      </c>
    </row>
    <row r="70" spans="2:6" ht="15" thickBot="1" x14ac:dyDescent="0.35">
      <c r="B70" s="24">
        <v>45536</v>
      </c>
      <c r="C70" s="191">
        <v>571562.80000000005</v>
      </c>
      <c r="D70" s="191">
        <v>2865458.93</v>
      </c>
      <c r="E70" s="191">
        <v>976963.01</v>
      </c>
      <c r="F70" s="191">
        <v>130918.16</v>
      </c>
    </row>
    <row r="71" spans="2:6" ht="15" thickBot="1" x14ac:dyDescent="0.35">
      <c r="B71" s="24">
        <v>45566</v>
      </c>
      <c r="C71" s="191">
        <v>419432.71</v>
      </c>
      <c r="D71" s="191">
        <v>1446375.72</v>
      </c>
      <c r="E71" s="191">
        <v>525094.05000000005</v>
      </c>
      <c r="F71" s="191">
        <v>105398.82</v>
      </c>
    </row>
    <row r="72" spans="2:6" ht="15" thickBot="1" x14ac:dyDescent="0.35">
      <c r="B72" s="24">
        <v>45597</v>
      </c>
      <c r="C72" s="191">
        <v>433058.77</v>
      </c>
      <c r="D72" s="191">
        <v>1493752.24</v>
      </c>
      <c r="E72" s="191">
        <v>509659.32</v>
      </c>
      <c r="F72" s="191">
        <v>105847.58</v>
      </c>
    </row>
    <row r="73" spans="2:6" ht="15" thickBot="1" x14ac:dyDescent="0.35">
      <c r="B73" s="24">
        <v>45627</v>
      </c>
      <c r="C73" s="10">
        <v>438569.53672408854</v>
      </c>
      <c r="D73" s="160"/>
      <c r="E73" s="160"/>
      <c r="F73" s="160"/>
    </row>
    <row r="74" spans="2:6" ht="15" thickBot="1" x14ac:dyDescent="0.35">
      <c r="B74" s="24">
        <v>45658</v>
      </c>
      <c r="C74" s="10">
        <v>443300.55339271919</v>
      </c>
      <c r="D74" s="160"/>
      <c r="E74" s="160"/>
      <c r="F74" s="160"/>
    </row>
    <row r="75" spans="2:6" ht="15" thickBot="1" x14ac:dyDescent="0.35">
      <c r="B75" s="24">
        <v>45689</v>
      </c>
      <c r="C75" s="10">
        <v>448047.92150144873</v>
      </c>
      <c r="D75" s="160"/>
      <c r="E75" s="160"/>
      <c r="F75" s="160"/>
    </row>
    <row r="76" spans="2:6" ht="15" thickBot="1" x14ac:dyDescent="0.35">
      <c r="B76" s="24">
        <v>45717</v>
      </c>
      <c r="C76" s="10">
        <v>453220.42705275113</v>
      </c>
      <c r="D76" s="160"/>
      <c r="E76" s="160"/>
      <c r="F76" s="160"/>
    </row>
    <row r="77" spans="2:6" ht="15" thickBot="1" x14ac:dyDescent="0.35">
      <c r="B77" s="24">
        <v>45748</v>
      </c>
      <c r="C77" s="10">
        <v>457971.79218017159</v>
      </c>
      <c r="D77" s="160"/>
      <c r="E77" s="160"/>
      <c r="F77" s="160"/>
    </row>
    <row r="78" spans="2:6" x14ac:dyDescent="0.3">
      <c r="B78" s="67">
        <v>45778</v>
      </c>
      <c r="C78" s="10">
        <v>462835.07383093599</v>
      </c>
      <c r="D78" s="160"/>
      <c r="E78" s="160"/>
      <c r="F78" s="160"/>
    </row>
    <row r="79" spans="2:6" x14ac:dyDescent="0.3">
      <c r="B79" s="196">
        <v>45809</v>
      </c>
      <c r="C79" s="10">
        <v>467591.52607305383</v>
      </c>
      <c r="D79" s="160"/>
      <c r="E79" s="160"/>
      <c r="F79" s="160"/>
    </row>
    <row r="80" spans="2:6" x14ac:dyDescent="0.3">
      <c r="B80" s="19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"/>
  <sheetViews>
    <sheetView view="pageBreakPreview" zoomScale="90" zoomScaleNormal="100" zoomScaleSheetLayoutView="90" workbookViewId="0">
      <selection activeCell="J10" sqref="J10"/>
    </sheetView>
  </sheetViews>
  <sheetFormatPr defaultRowHeight="14.4" x14ac:dyDescent="0.3"/>
  <cols>
    <col min="1" max="1" width="63.44140625" customWidth="1"/>
    <col min="2" max="2" width="20.21875" style="128" bestFit="1" customWidth="1"/>
    <col min="3" max="7" width="17.44140625" style="128" bestFit="1" customWidth="1"/>
    <col min="8" max="8" width="18.77734375" style="128" bestFit="1" customWidth="1"/>
    <col min="9" max="9" width="17.44140625" style="128" bestFit="1" customWidth="1"/>
    <col min="10" max="10" width="18.21875" style="128" bestFit="1" customWidth="1"/>
    <col min="11" max="12" width="17.44140625" style="128" bestFit="1" customWidth="1"/>
    <col min="13" max="14" width="21.21875" style="128" bestFit="1" customWidth="1"/>
    <col min="15" max="15" width="8.77734375" style="128"/>
  </cols>
  <sheetData>
    <row r="1" spans="1:15" ht="15" thickBot="1" x14ac:dyDescent="0.35"/>
    <row r="2" spans="1:15" s="130" customFormat="1" ht="18" thickBot="1" x14ac:dyDescent="0.35">
      <c r="A2" s="304" t="s">
        <v>42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129"/>
    </row>
    <row r="3" spans="1:15" s="130" customFormat="1" ht="18" thickBot="1" x14ac:dyDescent="0.35">
      <c r="A3" s="131" t="s">
        <v>1</v>
      </c>
      <c r="B3" s="146">
        <v>45108</v>
      </c>
      <c r="C3" s="149">
        <v>45139</v>
      </c>
      <c r="D3" s="146">
        <v>45170</v>
      </c>
      <c r="E3" s="149">
        <v>45200</v>
      </c>
      <c r="F3" s="146">
        <v>45231</v>
      </c>
      <c r="G3" s="149">
        <v>45261</v>
      </c>
      <c r="H3" s="146">
        <v>45292</v>
      </c>
      <c r="I3" s="146">
        <v>45323</v>
      </c>
      <c r="J3" s="149">
        <v>45352</v>
      </c>
      <c r="K3" s="146">
        <v>45383</v>
      </c>
      <c r="L3" s="149">
        <v>45413</v>
      </c>
      <c r="M3" s="146">
        <v>45444</v>
      </c>
      <c r="N3" s="192" t="s">
        <v>2</v>
      </c>
      <c r="O3" s="129"/>
    </row>
    <row r="4" spans="1:15" s="130" customFormat="1" ht="18" thickBot="1" x14ac:dyDescent="0.35">
      <c r="A4" s="180" t="s">
        <v>3</v>
      </c>
      <c r="B4" s="181">
        <v>277013750.64999998</v>
      </c>
      <c r="C4" s="182">
        <v>263433752.09</v>
      </c>
      <c r="D4" s="181">
        <v>169733900.40000001</v>
      </c>
      <c r="E4" s="182">
        <v>145463723.53999999</v>
      </c>
      <c r="F4" s="181">
        <v>145818937.69</v>
      </c>
      <c r="G4" s="182">
        <v>134855203.44</v>
      </c>
      <c r="H4" s="181">
        <v>136886068.88</v>
      </c>
      <c r="I4" s="147">
        <v>148929316.33000001</v>
      </c>
      <c r="J4" s="150">
        <v>142234975.59</v>
      </c>
      <c r="K4" s="147">
        <v>147726850.22</v>
      </c>
      <c r="L4" s="150">
        <v>146700542.5</v>
      </c>
      <c r="M4" s="147">
        <v>261527970.63999999</v>
      </c>
      <c r="N4" s="192">
        <f t="shared" ref="N4:N9" si="0">SUM(B4:M4)</f>
        <v>2120324991.9699998</v>
      </c>
      <c r="O4" s="129"/>
    </row>
    <row r="5" spans="1:15" s="130" customFormat="1" ht="18" thickBot="1" x14ac:dyDescent="0.35">
      <c r="A5" s="183" t="s">
        <v>4</v>
      </c>
      <c r="B5" s="147">
        <v>34510758.18</v>
      </c>
      <c r="C5" s="150">
        <v>36859941.710000001</v>
      </c>
      <c r="D5" s="147">
        <v>30015297.140000001</v>
      </c>
      <c r="E5" s="150">
        <v>20935898.120000001</v>
      </c>
      <c r="F5" s="147">
        <v>21463368.100000001</v>
      </c>
      <c r="G5" s="150">
        <v>20804855.030000001</v>
      </c>
      <c r="H5" s="147">
        <v>19649773.460000001</v>
      </c>
      <c r="I5" s="147">
        <v>21436355.960000001</v>
      </c>
      <c r="J5" s="150">
        <v>20560323.129999999</v>
      </c>
      <c r="K5" s="147">
        <v>20990117.309999999</v>
      </c>
      <c r="L5" s="150">
        <v>21185443.989999998</v>
      </c>
      <c r="M5" s="147">
        <v>30453567.859999999</v>
      </c>
      <c r="N5" s="192">
        <f t="shared" si="0"/>
        <v>298865699.99000001</v>
      </c>
      <c r="O5" s="129"/>
    </row>
    <row r="6" spans="1:15" s="130" customFormat="1" ht="18" thickBot="1" x14ac:dyDescent="0.35">
      <c r="A6" s="183" t="s">
        <v>5</v>
      </c>
      <c r="B6" s="147">
        <v>200679.52</v>
      </c>
      <c r="C6" s="150">
        <v>226112.85</v>
      </c>
      <c r="D6" s="147">
        <v>9069.6</v>
      </c>
      <c r="E6" s="150">
        <v>226112.85</v>
      </c>
      <c r="F6" s="147">
        <v>226112.85</v>
      </c>
      <c r="G6" s="150">
        <v>226469.65</v>
      </c>
      <c r="H6" s="147">
        <v>226112.85</v>
      </c>
      <c r="I6" s="147">
        <v>226112.85</v>
      </c>
      <c r="J6" s="150">
        <v>211677.75</v>
      </c>
      <c r="K6" s="147">
        <v>226112.85</v>
      </c>
      <c r="L6" s="147">
        <v>218895.3</v>
      </c>
      <c r="M6" s="147">
        <v>233330.4</v>
      </c>
      <c r="N6" s="192">
        <f t="shared" si="0"/>
        <v>2456799.3199999998</v>
      </c>
      <c r="O6" s="129"/>
    </row>
    <row r="7" spans="1:15" s="130" customFormat="1" ht="18" thickBot="1" x14ac:dyDescent="0.35">
      <c r="A7" s="183" t="s">
        <v>6</v>
      </c>
      <c r="B7" s="148">
        <v>2040526.34</v>
      </c>
      <c r="C7" s="151">
        <v>2169130.79</v>
      </c>
      <c r="D7" s="148">
        <v>1814162.73</v>
      </c>
      <c r="E7" s="151">
        <v>1508022.87</v>
      </c>
      <c r="F7" s="148">
        <v>1607158.78</v>
      </c>
      <c r="G7" s="151">
        <v>1491775.71</v>
      </c>
      <c r="H7" s="148">
        <v>1670179.93</v>
      </c>
      <c r="I7" s="148">
        <v>1528943.38</v>
      </c>
      <c r="J7" s="151">
        <v>1489208.27</v>
      </c>
      <c r="K7" s="148">
        <v>1566718.19</v>
      </c>
      <c r="L7" s="148">
        <v>1591319.64</v>
      </c>
      <c r="M7" s="148">
        <v>2097673.12</v>
      </c>
      <c r="N7" s="192">
        <f t="shared" si="0"/>
        <v>20574819.75</v>
      </c>
      <c r="O7" s="129"/>
    </row>
    <row r="8" spans="1:15" s="130" customFormat="1" ht="18" thickBot="1" x14ac:dyDescent="0.35">
      <c r="A8" s="184" t="s">
        <v>63</v>
      </c>
      <c r="B8" s="178">
        <v>398345.71</v>
      </c>
      <c r="C8" s="178">
        <v>488418.01</v>
      </c>
      <c r="D8" s="178">
        <v>457891.88</v>
      </c>
      <c r="E8" s="178">
        <v>457891.88</v>
      </c>
      <c r="F8" s="178">
        <v>473154.95</v>
      </c>
      <c r="G8" s="178">
        <v>457891.88</v>
      </c>
      <c r="H8" s="178">
        <v>473154.95</v>
      </c>
      <c r="I8" s="178">
        <v>473154.95</v>
      </c>
      <c r="J8" s="178">
        <v>442628.82</v>
      </c>
      <c r="K8" s="178">
        <v>473154.95</v>
      </c>
      <c r="L8" s="178">
        <v>457891.88</v>
      </c>
      <c r="M8" s="178">
        <v>473154.95</v>
      </c>
      <c r="N8" s="192">
        <f t="shared" si="0"/>
        <v>5526734.8100000005</v>
      </c>
      <c r="O8" s="129"/>
    </row>
    <row r="9" spans="1:15" s="130" customFormat="1" ht="18" thickBot="1" x14ac:dyDescent="0.35">
      <c r="A9" s="185" t="s">
        <v>167</v>
      </c>
      <c r="B9" s="186">
        <v>6850.58</v>
      </c>
      <c r="C9" s="186">
        <v>7152.71</v>
      </c>
      <c r="D9" s="186">
        <v>7152.71</v>
      </c>
      <c r="E9" s="186">
        <v>6921.08</v>
      </c>
      <c r="F9" s="186">
        <v>7152.71</v>
      </c>
      <c r="G9" s="186">
        <v>6921.08</v>
      </c>
      <c r="H9" s="186">
        <v>7152.71</v>
      </c>
      <c r="I9" s="178">
        <v>7152.71</v>
      </c>
      <c r="J9" s="178">
        <v>6691</v>
      </c>
      <c r="K9" s="178">
        <v>7152.71</v>
      </c>
      <c r="L9" s="178">
        <v>6921.08</v>
      </c>
      <c r="M9" s="178">
        <v>7152.71</v>
      </c>
      <c r="N9" s="192">
        <f t="shared" si="0"/>
        <v>84373.790000000008</v>
      </c>
      <c r="O9" s="129"/>
    </row>
    <row r="10" spans="1:15" s="130" customFormat="1" ht="18" thickBot="1" x14ac:dyDescent="0.35">
      <c r="A10" s="179" t="s">
        <v>7</v>
      </c>
      <c r="B10" s="177">
        <f>SUM(B4:B9)</f>
        <v>314170910.9799999</v>
      </c>
      <c r="C10" s="177">
        <f t="shared" ref="C10:H10" si="1">SUM(C4:C9)</f>
        <v>303184508.16000003</v>
      </c>
      <c r="D10" s="177">
        <f t="shared" si="1"/>
        <v>202037474.46000001</v>
      </c>
      <c r="E10" s="177">
        <f t="shared" si="1"/>
        <v>168598570.34</v>
      </c>
      <c r="F10" s="177">
        <f t="shared" si="1"/>
        <v>169595885.07999998</v>
      </c>
      <c r="G10" s="177">
        <f t="shared" si="1"/>
        <v>157843116.79000002</v>
      </c>
      <c r="H10" s="177">
        <f t="shared" si="1"/>
        <v>158912442.78</v>
      </c>
      <c r="I10" s="177">
        <f>SUM(I4:I9)</f>
        <v>172601036.18000001</v>
      </c>
      <c r="J10" s="177">
        <f t="shared" ref="J10:M10" si="2">SUM(J4:J9)</f>
        <v>164945504.56</v>
      </c>
      <c r="K10" s="177">
        <f t="shared" si="2"/>
        <v>170990106.22999999</v>
      </c>
      <c r="L10" s="177">
        <f t="shared" si="2"/>
        <v>170161014.39000002</v>
      </c>
      <c r="M10" s="177">
        <f t="shared" si="2"/>
        <v>294792849.67999995</v>
      </c>
      <c r="N10" s="177">
        <f>SUM(N4:N9)</f>
        <v>2447833419.6300001</v>
      </c>
      <c r="O10" s="129"/>
    </row>
    <row r="11" spans="1:15" s="130" customFormat="1" ht="17.399999999999999" x14ac:dyDescent="0.3">
      <c r="B11" s="145" t="s">
        <v>13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93"/>
      <c r="O11" s="129"/>
    </row>
    <row r="12" spans="1:15" s="130" customFormat="1" ht="18" thickBot="1" x14ac:dyDescent="0.3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1:15" s="130" customFormat="1" ht="18" thickBot="1" x14ac:dyDescent="0.35">
      <c r="A13" s="134" t="s">
        <v>43</v>
      </c>
      <c r="B13" s="135">
        <f>N10</f>
        <v>2447833419.6300001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1:15" s="130" customFormat="1" ht="18" thickBot="1" x14ac:dyDescent="0.35">
      <c r="A14" s="137" t="s">
        <v>44</v>
      </c>
      <c r="B14" s="138"/>
      <c r="C14" s="129"/>
      <c r="D14" s="129"/>
      <c r="E14" s="129"/>
      <c r="F14" s="129"/>
      <c r="G14" s="136"/>
      <c r="H14" s="136"/>
      <c r="I14" s="136"/>
      <c r="J14" s="136"/>
      <c r="K14" s="136"/>
      <c r="L14" s="136"/>
      <c r="M14" s="136"/>
      <c r="N14" s="136"/>
      <c r="O14" s="129"/>
    </row>
    <row r="15" spans="1:15" s="130" customFormat="1" ht="18" thickBot="1" x14ac:dyDescent="0.35">
      <c r="A15" s="139"/>
      <c r="B15" s="140">
        <f>B13-B14</f>
        <v>2447833419.6300001</v>
      </c>
      <c r="C15" s="129"/>
      <c r="D15" s="129"/>
      <c r="E15" s="129"/>
      <c r="F15" s="129"/>
      <c r="G15" s="136"/>
      <c r="H15" s="136"/>
      <c r="I15" s="129"/>
      <c r="J15" s="136"/>
      <c r="K15" s="136"/>
      <c r="L15" s="136"/>
      <c r="M15" s="136"/>
      <c r="N15" s="136"/>
      <c r="O15" s="129"/>
    </row>
    <row r="16" spans="1:15" s="130" customFormat="1" ht="18.600000000000001" thickTop="1" thickBot="1" x14ac:dyDescent="0.3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6" s="130" customFormat="1" ht="18" thickBot="1" x14ac:dyDescent="0.35">
      <c r="A17" s="304" t="s">
        <v>45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6"/>
      <c r="O17" s="129"/>
    </row>
    <row r="18" spans="1:16" s="130" customFormat="1" ht="18" thickBot="1" x14ac:dyDescent="0.35">
      <c r="A18" s="131" t="s">
        <v>1</v>
      </c>
      <c r="B18" s="142">
        <v>45108</v>
      </c>
      <c r="C18" s="142">
        <v>45139</v>
      </c>
      <c r="D18" s="142">
        <v>45170</v>
      </c>
      <c r="E18" s="142">
        <v>45200</v>
      </c>
      <c r="F18" s="142">
        <v>45231</v>
      </c>
      <c r="G18" s="142">
        <v>45261</v>
      </c>
      <c r="H18" s="142">
        <v>45292</v>
      </c>
      <c r="I18" s="142">
        <v>45323</v>
      </c>
      <c r="J18" s="142">
        <v>45352</v>
      </c>
      <c r="K18" s="142">
        <v>45383</v>
      </c>
      <c r="L18" s="142">
        <v>45413</v>
      </c>
      <c r="M18" s="142">
        <v>45444</v>
      </c>
      <c r="N18" s="192" t="s">
        <v>2</v>
      </c>
      <c r="O18" s="129"/>
      <c r="P18" s="190"/>
    </row>
    <row r="19" spans="1:16" s="130" customFormat="1" ht="18" thickBot="1" x14ac:dyDescent="0.35">
      <c r="A19" s="132" t="s">
        <v>9</v>
      </c>
      <c r="B19" s="143">
        <v>568340.36</v>
      </c>
      <c r="C19" s="143">
        <v>626577.21</v>
      </c>
      <c r="D19" s="143">
        <v>513651.61</v>
      </c>
      <c r="E19" s="143">
        <v>388035.79</v>
      </c>
      <c r="F19" s="143">
        <v>400268.64</v>
      </c>
      <c r="G19" s="143">
        <v>385329.89</v>
      </c>
      <c r="H19" s="143">
        <v>373294.45</v>
      </c>
      <c r="I19" s="143">
        <v>389534.63</v>
      </c>
      <c r="J19" s="143">
        <v>366958.82</v>
      </c>
      <c r="K19" s="143">
        <v>376887.42</v>
      </c>
      <c r="L19" s="143">
        <v>380862.84</v>
      </c>
      <c r="M19" s="143">
        <v>460757.95</v>
      </c>
      <c r="N19" s="192">
        <f>SUM(B19:M19)</f>
        <v>5230499.6100000003</v>
      </c>
      <c r="O19" s="129"/>
    </row>
    <row r="20" spans="1:16" s="130" customFormat="1" ht="18" thickBot="1" x14ac:dyDescent="0.35">
      <c r="A20" s="132" t="s">
        <v>10</v>
      </c>
      <c r="B20" s="143">
        <v>2045818.2</v>
      </c>
      <c r="C20" s="143">
        <v>2315972.88</v>
      </c>
      <c r="D20" s="143">
        <v>1822834.98</v>
      </c>
      <c r="E20" s="143">
        <v>1252527.55</v>
      </c>
      <c r="F20" s="143">
        <v>1241748.8500000001</v>
      </c>
      <c r="G20" s="143">
        <v>1123553.17</v>
      </c>
      <c r="H20" s="143">
        <v>1181231.69</v>
      </c>
      <c r="I20" s="143">
        <v>1268508.8</v>
      </c>
      <c r="J20" s="143">
        <v>1242066.78</v>
      </c>
      <c r="K20" s="143">
        <v>1342815.23</v>
      </c>
      <c r="L20" s="143">
        <v>1396011.57</v>
      </c>
      <c r="M20" s="143">
        <v>1984901.93</v>
      </c>
      <c r="N20" s="192">
        <f>SUM(B20:M20)</f>
        <v>18217991.630000003</v>
      </c>
      <c r="O20" s="129"/>
    </row>
    <row r="21" spans="1:16" s="130" customFormat="1" ht="18" thickBot="1" x14ac:dyDescent="0.35">
      <c r="A21" s="132" t="s">
        <v>11</v>
      </c>
      <c r="B21" s="143">
        <v>719682.76</v>
      </c>
      <c r="C21" s="143">
        <v>753683.85</v>
      </c>
      <c r="D21" s="143">
        <v>593811.19999999995</v>
      </c>
      <c r="E21" s="143">
        <v>442264.63</v>
      </c>
      <c r="F21" s="143">
        <v>434686.12</v>
      </c>
      <c r="G21" s="143">
        <v>393899.63</v>
      </c>
      <c r="H21" s="143">
        <v>428519.49</v>
      </c>
      <c r="I21" s="143">
        <v>441367.84</v>
      </c>
      <c r="J21" s="143">
        <v>401277.77</v>
      </c>
      <c r="K21" s="143">
        <v>459717.58</v>
      </c>
      <c r="L21" s="143">
        <v>469291.57</v>
      </c>
      <c r="M21" s="143">
        <v>678085.44</v>
      </c>
      <c r="N21" s="192">
        <f>SUM(B21:M21)</f>
        <v>6216287.879999999</v>
      </c>
      <c r="O21" s="129"/>
    </row>
    <row r="22" spans="1:16" s="130" customFormat="1" ht="18" thickBot="1" x14ac:dyDescent="0.35">
      <c r="A22" s="133" t="s">
        <v>12</v>
      </c>
      <c r="B22" s="148">
        <v>125582.37</v>
      </c>
      <c r="C22" s="151">
        <v>136449.21</v>
      </c>
      <c r="D22" s="148">
        <v>111098.58</v>
      </c>
      <c r="E22" s="151">
        <v>90769.68</v>
      </c>
      <c r="F22" s="148">
        <v>93090.97</v>
      </c>
      <c r="G22" s="151">
        <v>84292.02</v>
      </c>
      <c r="H22" s="148">
        <v>95178.14</v>
      </c>
      <c r="I22" s="148">
        <v>94759.56</v>
      </c>
      <c r="J22" s="151">
        <v>89932.05</v>
      </c>
      <c r="K22" s="148">
        <v>99152.47</v>
      </c>
      <c r="L22" s="148">
        <v>94527.360000000001</v>
      </c>
      <c r="M22" s="148">
        <v>129020.13</v>
      </c>
      <c r="N22" s="192">
        <f>SUM(B22:M22)</f>
        <v>1243852.54</v>
      </c>
      <c r="O22" s="129"/>
    </row>
    <row r="23" spans="1:16" s="130" customFormat="1" ht="18" thickBot="1" x14ac:dyDescent="0.35">
      <c r="A23" s="131" t="s">
        <v>7</v>
      </c>
      <c r="B23" s="144">
        <f>SUM(B19:B22)</f>
        <v>3459423.6900000004</v>
      </c>
      <c r="C23" s="144">
        <f t="shared" ref="C23:L23" si="3">SUM(C19:C22)</f>
        <v>3832683.15</v>
      </c>
      <c r="D23" s="144">
        <f t="shared" si="3"/>
        <v>3041396.37</v>
      </c>
      <c r="E23" s="144">
        <f t="shared" si="3"/>
        <v>2173597.6500000004</v>
      </c>
      <c r="F23" s="144">
        <f t="shared" si="3"/>
        <v>2169794.5800000005</v>
      </c>
      <c r="G23" s="144">
        <f t="shared" si="3"/>
        <v>1987074.71</v>
      </c>
      <c r="H23" s="144">
        <f t="shared" si="3"/>
        <v>2078223.7699999998</v>
      </c>
      <c r="I23" s="144">
        <f t="shared" si="3"/>
        <v>2194170.83</v>
      </c>
      <c r="J23" s="144">
        <f>SUM(J19:J22)</f>
        <v>2100235.42</v>
      </c>
      <c r="K23" s="144">
        <f t="shared" si="3"/>
        <v>2278572.7000000002</v>
      </c>
      <c r="L23" s="144">
        <f t="shared" si="3"/>
        <v>2340693.34</v>
      </c>
      <c r="M23" s="144">
        <f>SUM(M19:M22)</f>
        <v>3252765.4499999997</v>
      </c>
      <c r="N23" s="192">
        <f>SUM(N19:N22)</f>
        <v>30908631.66</v>
      </c>
      <c r="O23" s="129"/>
    </row>
    <row r="24" spans="1:16" s="130" customFormat="1" ht="17.399999999999999" x14ac:dyDescent="0.3">
      <c r="B24" s="145" t="s">
        <v>13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93"/>
      <c r="O24" s="129"/>
    </row>
    <row r="25" spans="1:16" s="130" customFormat="1" ht="18" thickBot="1" x14ac:dyDescent="0.35"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29"/>
    </row>
    <row r="26" spans="1:16" s="130" customFormat="1" ht="18" thickBot="1" x14ac:dyDescent="0.35">
      <c r="A26" s="134" t="s">
        <v>43</v>
      </c>
      <c r="B26" s="135">
        <f>N23</f>
        <v>30908631.66</v>
      </c>
      <c r="C26" s="129"/>
      <c r="D26" s="129"/>
      <c r="E26" s="129"/>
      <c r="F26" s="129"/>
      <c r="G26" s="129">
        <f>(G4*12.72%)+G4</f>
        <v>152008785.317568</v>
      </c>
      <c r="H26" s="129">
        <f>(H4*12.72%)+H4</f>
        <v>154297976.84153599</v>
      </c>
      <c r="I26" s="129">
        <f t="shared" ref="I26:L26" si="4">(I4*12.72%)+I4</f>
        <v>167873125.36717603</v>
      </c>
      <c r="J26" s="129">
        <f t="shared" si="4"/>
        <v>160327264.485048</v>
      </c>
      <c r="K26" s="129">
        <f t="shared" si="4"/>
        <v>166517705.56798398</v>
      </c>
      <c r="L26" s="129">
        <f t="shared" si="4"/>
        <v>165360851.50600001</v>
      </c>
      <c r="M26" s="129">
        <f>(M4*12.72%)+M4</f>
        <v>294794328.50540799</v>
      </c>
      <c r="N26" s="129"/>
      <c r="O26" s="129"/>
    </row>
    <row r="27" spans="1:16" s="130" customFormat="1" ht="18" thickBot="1" x14ac:dyDescent="0.35">
      <c r="A27" s="137" t="s">
        <v>44</v>
      </c>
      <c r="B27" s="13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spans="1:16" s="130" customFormat="1" ht="18" thickBot="1" x14ac:dyDescent="0.35">
      <c r="A28" s="139" t="s">
        <v>16</v>
      </c>
      <c r="B28" s="140">
        <f>B26-B27</f>
        <v>30908631.66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1:16" s="130" customFormat="1" ht="18" thickTop="1" x14ac:dyDescent="0.3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16" s="130" customFormat="1" ht="18" thickBot="1" x14ac:dyDescent="0.35">
      <c r="B30" s="129"/>
      <c r="C30" s="129"/>
      <c r="D30" s="129"/>
      <c r="E30" s="129"/>
      <c r="F30" s="129"/>
      <c r="G30" s="129">
        <f>(G20*12.72%)+G20</f>
        <v>1266469.133224</v>
      </c>
      <c r="H30" s="129">
        <f t="shared" ref="H30:M30" si="5">(H20*12.72%)+H20</f>
        <v>1331484.360968</v>
      </c>
      <c r="I30" s="129">
        <f t="shared" si="5"/>
        <v>1429863.1193600001</v>
      </c>
      <c r="J30" s="129">
        <f t="shared" si="5"/>
        <v>1400057.674416</v>
      </c>
      <c r="K30" s="129">
        <f>(K20*12.72%)+K20</f>
        <v>1513621.3272559999</v>
      </c>
      <c r="L30" s="129">
        <f t="shared" si="5"/>
        <v>1573584.2417040002</v>
      </c>
      <c r="M30" s="129">
        <f t="shared" si="5"/>
        <v>2237381.4554960001</v>
      </c>
      <c r="N30" s="129"/>
      <c r="O30" s="129"/>
    </row>
    <row r="31" spans="1:16" s="130" customFormat="1" ht="35.4" thickBot="1" x14ac:dyDescent="0.35">
      <c r="A31" s="141" t="s">
        <v>34</v>
      </c>
      <c r="B31" s="138">
        <f>B15+B28</f>
        <v>2478742051.29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</sheetData>
  <mergeCells count="2">
    <mergeCell ref="A2:N2"/>
    <mergeCell ref="A17:N17"/>
  </mergeCells>
  <pageMargins left="0.7" right="0.7" top="0.75" bottom="0.75" header="0.3" footer="0.3"/>
  <pageSetup paperSize="9" scale="4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N34"/>
  <sheetViews>
    <sheetView topLeftCell="A7" zoomScale="120" zoomScaleNormal="120" workbookViewId="0">
      <selection activeCell="E34" sqref="E34"/>
    </sheetView>
  </sheetViews>
  <sheetFormatPr defaultRowHeight="14.4" x14ac:dyDescent="0.3"/>
  <cols>
    <col min="1" max="1" width="42.5546875" customWidth="1"/>
    <col min="2" max="2" width="17.77734375" bestFit="1" customWidth="1"/>
    <col min="3" max="13" width="17.21875" bestFit="1" customWidth="1"/>
    <col min="14" max="14" width="17.77734375" bestFit="1" customWidth="1"/>
    <col min="16" max="16" width="9.77734375" bestFit="1" customWidth="1"/>
  </cols>
  <sheetData>
    <row r="1" spans="1:14" ht="15" thickBot="1" x14ac:dyDescent="0.35"/>
    <row r="2" spans="1:14" ht="15" thickBot="1" x14ac:dyDescent="0.35">
      <c r="A2" s="294" t="s">
        <v>62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40">
        <v>45501</v>
      </c>
      <c r="C3" s="40">
        <v>45505</v>
      </c>
      <c r="D3" s="40">
        <v>45536</v>
      </c>
      <c r="E3" s="40">
        <v>45566</v>
      </c>
      <c r="F3" s="40">
        <v>45597</v>
      </c>
      <c r="G3" s="40">
        <v>45627</v>
      </c>
      <c r="H3" s="40">
        <v>45658</v>
      </c>
      <c r="I3" s="40">
        <v>45689</v>
      </c>
      <c r="J3" s="40">
        <v>45717</v>
      </c>
      <c r="K3" s="40">
        <v>45748</v>
      </c>
      <c r="L3" s="40">
        <v>45778</v>
      </c>
      <c r="M3" s="208">
        <v>45444</v>
      </c>
      <c r="N3" s="26" t="s">
        <v>2</v>
      </c>
    </row>
    <row r="4" spans="1:14" ht="15" thickBot="1" x14ac:dyDescent="0.35">
      <c r="A4" s="2" t="s">
        <v>3</v>
      </c>
      <c r="B4" s="191">
        <v>308892054.16000003</v>
      </c>
      <c r="C4" s="191">
        <v>296927274.94999999</v>
      </c>
      <c r="D4" s="191">
        <v>187906578.78</v>
      </c>
      <c r="E4" s="191">
        <v>158400595.19</v>
      </c>
      <c r="F4" s="200">
        <v>162592307.16</v>
      </c>
      <c r="G4" s="200">
        <v>149047811.58000001</v>
      </c>
      <c r="H4" s="211">
        <v>157737109.68218699</v>
      </c>
      <c r="I4" s="211">
        <v>160152104.933716</v>
      </c>
      <c r="J4" s="211">
        <v>162783368.416724</v>
      </c>
      <c r="K4" s="211">
        <v>165200396.95931801</v>
      </c>
      <c r="L4" s="211">
        <v>167674357.651737</v>
      </c>
      <c r="M4" s="211">
        <v>304876024.87777698</v>
      </c>
      <c r="N4" s="30">
        <f>SUM(B4:M4)</f>
        <v>2382189984.3414588</v>
      </c>
    </row>
    <row r="5" spans="1:14" ht="15" thickBot="1" x14ac:dyDescent="0.35">
      <c r="A5" s="3" t="s">
        <v>4</v>
      </c>
      <c r="B5" s="191">
        <v>36471456.740000002</v>
      </c>
      <c r="C5" s="191">
        <v>42635932.229999997</v>
      </c>
      <c r="D5" s="191">
        <v>32930432.5</v>
      </c>
      <c r="E5" s="191">
        <v>23911952.460000001</v>
      </c>
      <c r="F5" s="200">
        <v>24177668.98</v>
      </c>
      <c r="G5" s="200">
        <v>23851506.399999999</v>
      </c>
      <c r="H5" s="211">
        <v>26341437.467621539</v>
      </c>
      <c r="I5" s="211">
        <v>27226590.300683498</v>
      </c>
      <c r="J5" s="211">
        <v>28791239.2244366</v>
      </c>
      <c r="K5" s="211">
        <v>31556868.36016788</v>
      </c>
      <c r="L5" s="211">
        <v>33373234.706722498</v>
      </c>
      <c r="M5" s="211">
        <v>35218264.010260239</v>
      </c>
      <c r="N5" s="30">
        <f t="shared" ref="N5:N9" si="0">SUM(B5:M5)</f>
        <v>366486583.37989223</v>
      </c>
    </row>
    <row r="6" spans="1:14" ht="15" thickBot="1" x14ac:dyDescent="0.35">
      <c r="A6" s="3" t="s">
        <v>5</v>
      </c>
      <c r="B6" s="191">
        <v>224675.87</v>
      </c>
      <c r="C6" s="191">
        <v>254873.98</v>
      </c>
      <c r="D6" s="191">
        <v>254873.98</v>
      </c>
      <c r="E6" s="191">
        <v>246738.36</v>
      </c>
      <c r="F6" s="200">
        <v>254873.98</v>
      </c>
      <c r="G6" s="200">
        <v>249914.92</v>
      </c>
      <c r="H6" s="211">
        <v>257605.24298806826</v>
      </c>
      <c r="I6" s="211">
        <v>260353.30755736219</v>
      </c>
      <c r="J6" s="211">
        <v>263101.37212665606</v>
      </c>
      <c r="K6" s="211">
        <v>265849.43669594993</v>
      </c>
      <c r="L6" s="211">
        <v>268597.5012652438</v>
      </c>
      <c r="M6" s="211">
        <v>271345.56583453767</v>
      </c>
      <c r="N6" s="30">
        <f>SUM(B6:M6)</f>
        <v>3072803.5164678176</v>
      </c>
    </row>
    <row r="7" spans="1:14" ht="15" thickBot="1" x14ac:dyDescent="0.35">
      <c r="A7" s="3" t="s">
        <v>6</v>
      </c>
      <c r="B7" s="191">
        <v>2583645.4500000002</v>
      </c>
      <c r="C7" s="191">
        <v>2951042.5</v>
      </c>
      <c r="D7" s="191">
        <v>2385073.5699999998</v>
      </c>
      <c r="E7" s="191">
        <v>1765172.1</v>
      </c>
      <c r="F7" s="200">
        <v>1873528.83</v>
      </c>
      <c r="G7" s="200">
        <v>1955554.11</v>
      </c>
      <c r="H7" s="211">
        <v>1935921.2115211347</v>
      </c>
      <c r="I7" s="211">
        <v>1966728.3341429648</v>
      </c>
      <c r="J7" s="211">
        <v>2000294.3035667499</v>
      </c>
      <c r="K7" s="211">
        <v>2031127.3640644958</v>
      </c>
      <c r="L7" s="211">
        <v>2062686.6850878845</v>
      </c>
      <c r="M7" s="211">
        <v>2093552.7574277052</v>
      </c>
      <c r="N7" s="30">
        <f t="shared" si="0"/>
        <v>25604327.215810932</v>
      </c>
    </row>
    <row r="8" spans="1:14" ht="15" thickBot="1" x14ac:dyDescent="0.35">
      <c r="A8" s="3" t="s">
        <v>63</v>
      </c>
      <c r="B8" s="191">
        <v>467596.98</v>
      </c>
      <c r="C8" s="191">
        <v>550530.6</v>
      </c>
      <c r="D8" s="191">
        <v>516122.44</v>
      </c>
      <c r="E8" s="191">
        <v>516122.44</v>
      </c>
      <c r="F8" s="200">
        <v>533326.52</v>
      </c>
      <c r="G8" s="200">
        <v>516122.44</v>
      </c>
      <c r="H8" s="211">
        <v>545002.32082616666</v>
      </c>
      <c r="I8" s="211">
        <v>551936.82684410585</v>
      </c>
      <c r="J8" s="211">
        <v>558871.33286204503</v>
      </c>
      <c r="K8" s="211">
        <v>565805.83887998434</v>
      </c>
      <c r="L8" s="211">
        <v>572740.34489792353</v>
      </c>
      <c r="M8" s="211">
        <v>579674.85091586271</v>
      </c>
      <c r="N8" s="30">
        <f t="shared" si="0"/>
        <v>6473852.9352260884</v>
      </c>
    </row>
    <row r="9" spans="1:14" ht="15" thickBot="1" x14ac:dyDescent="0.35">
      <c r="A9" s="4" t="s">
        <v>167</v>
      </c>
      <c r="B9" s="191">
        <v>7744.28</v>
      </c>
      <c r="C9" s="191">
        <v>8062.33</v>
      </c>
      <c r="D9" s="191">
        <v>8062.33</v>
      </c>
      <c r="E9" s="191">
        <v>7801.24</v>
      </c>
      <c r="F9" s="191">
        <v>8062.33</v>
      </c>
      <c r="G9" s="191">
        <v>7801.24</v>
      </c>
      <c r="H9" s="152">
        <v>8249.3986198164839</v>
      </c>
      <c r="I9" s="152">
        <v>8352.423348593411</v>
      </c>
      <c r="J9" s="152">
        <v>8455.4480773703381</v>
      </c>
      <c r="K9" s="152">
        <v>8558.4728061472633</v>
      </c>
      <c r="L9" s="152">
        <v>8661.4975349241904</v>
      </c>
      <c r="M9" s="211">
        <v>8764.5222637011175</v>
      </c>
      <c r="N9" s="30">
        <f t="shared" si="0"/>
        <v>98575.512650552802</v>
      </c>
    </row>
    <row r="10" spans="1:14" ht="15" thickBot="1" x14ac:dyDescent="0.35">
      <c r="A10" s="1" t="s">
        <v>7</v>
      </c>
      <c r="B10" s="155">
        <f t="shared" ref="B10:L10" si="1">SUM(B4:B9)</f>
        <v>348647173.48000002</v>
      </c>
      <c r="C10" s="155">
        <f t="shared" si="1"/>
        <v>343327716.59000003</v>
      </c>
      <c r="D10" s="155">
        <f t="shared" si="1"/>
        <v>224001143.59999999</v>
      </c>
      <c r="E10" s="155">
        <f t="shared" si="1"/>
        <v>184848381.79000002</v>
      </c>
      <c r="F10" s="155">
        <f t="shared" si="1"/>
        <v>189439767.80000001</v>
      </c>
      <c r="G10" s="155">
        <f t="shared" si="1"/>
        <v>175628710.69000003</v>
      </c>
      <c r="H10" s="212">
        <f t="shared" si="1"/>
        <v>186825325.32376376</v>
      </c>
      <c r="I10" s="212">
        <f t="shared" si="1"/>
        <v>190166066.12629253</v>
      </c>
      <c r="J10" s="212">
        <f t="shared" si="1"/>
        <v>194405330.09779346</v>
      </c>
      <c r="K10" s="212">
        <f t="shared" si="1"/>
        <v>199628606.43193248</v>
      </c>
      <c r="L10" s="212">
        <f t="shared" si="1"/>
        <v>203960278.38724551</v>
      </c>
      <c r="M10" s="212">
        <f>SUM(M4:M9)</f>
        <v>343047626.58447897</v>
      </c>
      <c r="N10" s="27">
        <f>SUM(N4:N9)</f>
        <v>2783926126.9015064</v>
      </c>
    </row>
    <row r="11" spans="1:14" x14ac:dyDescent="0.3">
      <c r="B11" s="307" t="s">
        <v>13</v>
      </c>
      <c r="C11" s="307"/>
      <c r="D11" s="307"/>
      <c r="E11" s="307"/>
      <c r="F11" s="307"/>
      <c r="G11" s="307"/>
      <c r="H11" s="298" t="s">
        <v>174</v>
      </c>
      <c r="I11" s="298"/>
      <c r="J11" s="298"/>
      <c r="K11" s="298"/>
      <c r="L11" s="298"/>
      <c r="M11" s="298"/>
      <c r="N11" s="60"/>
    </row>
    <row r="12" spans="1:14" ht="15" thickBot="1" x14ac:dyDescent="0.35"/>
    <row r="13" spans="1:14" ht="15" thickBot="1" x14ac:dyDescent="0.35">
      <c r="A13" s="33" t="s">
        <v>57</v>
      </c>
      <c r="B13" s="34">
        <v>2534274096.550653</v>
      </c>
      <c r="G13" s="32"/>
      <c r="H13" s="32"/>
      <c r="I13" s="32"/>
      <c r="J13" s="32"/>
      <c r="K13" s="32"/>
      <c r="L13" s="32"/>
      <c r="M13" s="32"/>
      <c r="N13" s="32"/>
    </row>
    <row r="14" spans="1:14" ht="15" thickBot="1" x14ac:dyDescent="0.35">
      <c r="A14" s="35" t="s">
        <v>60</v>
      </c>
      <c r="B14" s="36">
        <f>N10</f>
        <v>2783926126.9015064</v>
      </c>
      <c r="G14" s="32"/>
      <c r="H14" s="32"/>
      <c r="I14" s="32"/>
      <c r="J14" s="32"/>
      <c r="K14" s="32"/>
      <c r="L14" s="32"/>
      <c r="M14" s="32"/>
      <c r="N14" s="32"/>
    </row>
    <row r="15" spans="1:14" ht="15" thickBot="1" x14ac:dyDescent="0.35">
      <c r="A15" s="37"/>
      <c r="B15" s="38">
        <f>B13-B14</f>
        <v>-249652030.35085344</v>
      </c>
      <c r="G15" s="32"/>
      <c r="H15" s="32"/>
      <c r="I15" s="32"/>
      <c r="J15" s="32"/>
      <c r="K15" s="32"/>
      <c r="L15" s="32"/>
      <c r="M15" s="32"/>
      <c r="N15" s="32"/>
    </row>
    <row r="16" spans="1:14" ht="15.6" thickTop="1" thickBot="1" x14ac:dyDescent="0.35"/>
    <row r="17" spans="1:14" ht="15" thickBot="1" x14ac:dyDescent="0.35">
      <c r="A17" s="294" t="s">
        <v>54</v>
      </c>
      <c r="B17" s="295"/>
      <c r="C17" s="295"/>
      <c r="D17" s="295"/>
      <c r="E17" s="295"/>
      <c r="F17" s="295"/>
      <c r="G17" s="300"/>
      <c r="H17" s="300"/>
      <c r="I17" s="300"/>
      <c r="J17" s="300"/>
      <c r="K17" s="300"/>
      <c r="L17" s="300"/>
      <c r="M17" s="300"/>
      <c r="N17" s="296"/>
    </row>
    <row r="18" spans="1:14" ht="15" thickBot="1" x14ac:dyDescent="0.35">
      <c r="A18" s="1" t="s">
        <v>1</v>
      </c>
      <c r="B18" s="142">
        <f t="shared" ref="B18:M18" si="2">+B3</f>
        <v>45501</v>
      </c>
      <c r="C18" s="142">
        <f t="shared" si="2"/>
        <v>45505</v>
      </c>
      <c r="D18" s="142">
        <f t="shared" si="2"/>
        <v>45536</v>
      </c>
      <c r="E18" s="142">
        <f t="shared" si="2"/>
        <v>45566</v>
      </c>
      <c r="F18" s="218">
        <f t="shared" si="2"/>
        <v>45597</v>
      </c>
      <c r="G18" s="142">
        <f t="shared" si="2"/>
        <v>45627</v>
      </c>
      <c r="H18" s="40">
        <f t="shared" si="2"/>
        <v>45658</v>
      </c>
      <c r="I18" s="40">
        <f t="shared" si="2"/>
        <v>45689</v>
      </c>
      <c r="J18" s="40">
        <f t="shared" si="2"/>
        <v>45717</v>
      </c>
      <c r="K18" s="40">
        <f t="shared" si="2"/>
        <v>45748</v>
      </c>
      <c r="L18" s="40">
        <f t="shared" si="2"/>
        <v>45778</v>
      </c>
      <c r="M18" s="210">
        <f t="shared" si="2"/>
        <v>45444</v>
      </c>
      <c r="N18" s="209" t="s">
        <v>2</v>
      </c>
    </row>
    <row r="19" spans="1:14" ht="15" thickBot="1" x14ac:dyDescent="0.35">
      <c r="A19" s="2" t="s">
        <v>9</v>
      </c>
      <c r="B19" s="191">
        <v>512614.61</v>
      </c>
      <c r="C19" s="191">
        <v>512614.61</v>
      </c>
      <c r="D19" s="191">
        <v>571562.80000000005</v>
      </c>
      <c r="E19" s="191">
        <v>419432.71</v>
      </c>
      <c r="F19" s="200">
        <v>433058.77</v>
      </c>
      <c r="G19" s="200">
        <v>410348.51</v>
      </c>
      <c r="H19" s="211">
        <v>443300.55339271919</v>
      </c>
      <c r="I19" s="211">
        <v>448047.92150144873</v>
      </c>
      <c r="J19" s="211">
        <v>453220.42705275113</v>
      </c>
      <c r="K19" s="211">
        <v>457971.79218017159</v>
      </c>
      <c r="L19" s="211">
        <v>462835.07383093599</v>
      </c>
      <c r="M19" s="211">
        <v>467591.52607305383</v>
      </c>
      <c r="N19" s="27">
        <f>SUM(B19:M19)</f>
        <v>5592599.3040310796</v>
      </c>
    </row>
    <row r="20" spans="1:14" ht="15" thickBot="1" x14ac:dyDescent="0.35">
      <c r="A20" s="3" t="s">
        <v>10</v>
      </c>
      <c r="B20" s="191">
        <v>2210945.39</v>
      </c>
      <c r="C20" s="191">
        <v>2210945.39</v>
      </c>
      <c r="D20" s="191">
        <v>2865458.93</v>
      </c>
      <c r="E20" s="191">
        <v>1446375.72</v>
      </c>
      <c r="F20" s="200">
        <v>1493752.24</v>
      </c>
      <c r="G20" s="200">
        <v>1358688.37</v>
      </c>
      <c r="H20" s="211">
        <v>1439367.30896552</v>
      </c>
      <c r="I20" s="211">
        <v>1561890.3957393065</v>
      </c>
      <c r="J20" s="211">
        <v>1586430.4753585099</v>
      </c>
      <c r="K20" s="211">
        <v>1608972.5253128982</v>
      </c>
      <c r="L20" s="211">
        <v>1632045.5443240278</v>
      </c>
      <c r="M20" s="211">
        <v>1654611.7292355401</v>
      </c>
      <c r="N20" s="27">
        <f t="shared" ref="N20:N22" si="3">SUM(B20:M20)</f>
        <v>21069484.018935807</v>
      </c>
    </row>
    <row r="21" spans="1:14" ht="15" thickBot="1" x14ac:dyDescent="0.35">
      <c r="A21" s="3" t="s">
        <v>11</v>
      </c>
      <c r="B21" s="191">
        <v>831567.22</v>
      </c>
      <c r="C21" s="191">
        <v>831567.22</v>
      </c>
      <c r="D21" s="191">
        <v>976963.01</v>
      </c>
      <c r="E21" s="191">
        <v>525094.05000000005</v>
      </c>
      <c r="F21" s="200">
        <v>509659.32</v>
      </c>
      <c r="G21" s="200">
        <v>460432.08</v>
      </c>
      <c r="H21" s="211">
        <v>532677.72250834259</v>
      </c>
      <c r="I21" s="211">
        <f>110%*544043.384971362</f>
        <v>598447.72346849821</v>
      </c>
      <c r="J21" s="211">
        <f>115%*556426.867953458</f>
        <v>639890.8981464766</v>
      </c>
      <c r="K21" s="211">
        <f>120%*567802.099669221</f>
        <v>681362.5196030651</v>
      </c>
      <c r="L21" s="211">
        <f>120%*579445.270461801</f>
        <v>695334.32455416117</v>
      </c>
      <c r="M21" s="211">
        <f>120%*590832.68122651</f>
        <v>708999.21747181192</v>
      </c>
      <c r="N21" s="27">
        <f t="shared" si="3"/>
        <v>7991995.3057523556</v>
      </c>
    </row>
    <row r="22" spans="1:14" ht="15" thickBot="1" x14ac:dyDescent="0.35">
      <c r="A22" s="3" t="s">
        <v>12</v>
      </c>
      <c r="B22" s="191">
        <v>150836.26</v>
      </c>
      <c r="C22" s="191">
        <v>167575.67000000001</v>
      </c>
      <c r="D22" s="191">
        <v>130918.16</v>
      </c>
      <c r="E22" s="191">
        <v>105398.82</v>
      </c>
      <c r="F22" s="200">
        <v>105847.58</v>
      </c>
      <c r="G22" s="191">
        <v>96007.4</v>
      </c>
      <c r="H22" s="152">
        <f>70%*163203.182193182</f>
        <v>114242.2275352274</v>
      </c>
      <c r="I22" s="152">
        <f>70%*167990.163229521</f>
        <v>117593.11426066468</v>
      </c>
      <c r="J22" s="152">
        <f>70%*172712.216469503</f>
        <v>120898.5515286521</v>
      </c>
      <c r="K22" s="152">
        <f>70%*176692.044759037</f>
        <v>123684.43133132589</v>
      </c>
      <c r="L22" s="152">
        <f>70%*180478.782167585</f>
        <v>126335.1475173095</v>
      </c>
      <c r="M22" s="211">
        <f>70%*183947.523598718</f>
        <v>128763.26651910259</v>
      </c>
      <c r="N22" s="27">
        <f t="shared" si="3"/>
        <v>1488100.6286922821</v>
      </c>
    </row>
    <row r="23" spans="1:14" ht="15" thickBot="1" x14ac:dyDescent="0.35">
      <c r="A23" s="1" t="s">
        <v>7</v>
      </c>
      <c r="B23" s="155">
        <f t="shared" ref="B23:L23" si="4">SUM(B19:B22)</f>
        <v>3705963.4799999995</v>
      </c>
      <c r="C23" s="155">
        <f t="shared" si="4"/>
        <v>3722702.8899999997</v>
      </c>
      <c r="D23" s="155">
        <f t="shared" si="4"/>
        <v>4544902.9000000004</v>
      </c>
      <c r="E23" s="155">
        <f t="shared" si="4"/>
        <v>2496301.2999999998</v>
      </c>
      <c r="F23" s="155">
        <f t="shared" si="4"/>
        <v>2542317.91</v>
      </c>
      <c r="G23" s="155">
        <f t="shared" si="4"/>
        <v>2325476.36</v>
      </c>
      <c r="H23" s="212">
        <f t="shared" si="4"/>
        <v>2529587.8124018093</v>
      </c>
      <c r="I23" s="212">
        <f t="shared" si="4"/>
        <v>2725979.1549699181</v>
      </c>
      <c r="J23" s="212">
        <f t="shared" si="4"/>
        <v>2800440.3520863899</v>
      </c>
      <c r="K23" s="212">
        <f t="shared" si="4"/>
        <v>2871991.2684274609</v>
      </c>
      <c r="L23" s="212">
        <f t="shared" si="4"/>
        <v>2916550.0902264346</v>
      </c>
      <c r="M23" s="212">
        <f>SUM(M19:M22)</f>
        <v>2959965.7392995087</v>
      </c>
      <c r="N23" s="27">
        <f>SUM(N19:N22)</f>
        <v>36142179.257411525</v>
      </c>
    </row>
    <row r="24" spans="1:14" x14ac:dyDescent="0.3">
      <c r="B24" s="307" t="s">
        <v>13</v>
      </c>
      <c r="C24" s="307"/>
      <c r="D24" s="307"/>
      <c r="E24" s="307"/>
      <c r="F24" s="307"/>
      <c r="G24" s="307"/>
      <c r="H24" s="298" t="s">
        <v>174</v>
      </c>
      <c r="I24" s="298"/>
      <c r="J24" s="298"/>
      <c r="K24" s="298"/>
      <c r="L24" s="298"/>
      <c r="M24" s="298"/>
      <c r="N24" s="60"/>
    </row>
    <row r="25" spans="1:14" ht="15" thickBot="1" x14ac:dyDescent="0.3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thickBot="1" x14ac:dyDescent="0.35">
      <c r="A26" s="33" t="s">
        <v>57</v>
      </c>
      <c r="B26" s="34">
        <v>34916186.449346952</v>
      </c>
    </row>
    <row r="27" spans="1:14" ht="15" thickBot="1" x14ac:dyDescent="0.35">
      <c r="A27" s="35" t="s">
        <v>60</v>
      </c>
      <c r="B27" s="36">
        <f>N23</f>
        <v>36142179.257411525</v>
      </c>
    </row>
    <row r="28" spans="1:14" ht="15" thickBot="1" x14ac:dyDescent="0.35">
      <c r="A28" s="37"/>
      <c r="B28" s="38">
        <f>B26-B27</f>
        <v>-1225992.8080645725</v>
      </c>
    </row>
    <row r="29" spans="1:14" ht="15" thickTop="1" x14ac:dyDescent="0.3"/>
    <row r="30" spans="1:14" ht="15" thickBot="1" x14ac:dyDescent="0.35"/>
    <row r="31" spans="1:14" ht="15" thickBot="1" x14ac:dyDescent="0.35">
      <c r="A31" s="33" t="s">
        <v>57</v>
      </c>
      <c r="B31" s="34">
        <f>B26+B13</f>
        <v>2569190283</v>
      </c>
      <c r="D31" s="166"/>
      <c r="E31" s="166"/>
    </row>
    <row r="32" spans="1:14" ht="15" thickBot="1" x14ac:dyDescent="0.35">
      <c r="A32" s="35" t="s">
        <v>60</v>
      </c>
      <c r="B32" s="189">
        <f>B14+B27</f>
        <v>2820068306.1589179</v>
      </c>
    </row>
    <row r="33" spans="1:2" ht="15" thickBot="1" x14ac:dyDescent="0.35">
      <c r="A33" s="216"/>
      <c r="B33" s="217"/>
    </row>
    <row r="34" spans="1:2" ht="29.4" thickBot="1" x14ac:dyDescent="0.35">
      <c r="A34" s="188" t="s">
        <v>179</v>
      </c>
      <c r="B34" s="38">
        <f>B31-B32</f>
        <v>-250878023.1589179</v>
      </c>
    </row>
  </sheetData>
  <mergeCells count="6">
    <mergeCell ref="A2:N2"/>
    <mergeCell ref="A17:N17"/>
    <mergeCell ref="H24:M24"/>
    <mergeCell ref="B24:G24"/>
    <mergeCell ref="B11:G11"/>
    <mergeCell ref="H11:M1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C9CD-A9B6-4FA0-A8A1-667E2063A1D8}">
  <sheetPr>
    <tabColor rgb="FF92D050"/>
  </sheetPr>
  <dimension ref="A1:N46"/>
  <sheetViews>
    <sheetView view="pageBreakPreview" zoomScaleNormal="100" zoomScaleSheetLayoutView="100" workbookViewId="0">
      <selection activeCell="J7" sqref="J7"/>
    </sheetView>
  </sheetViews>
  <sheetFormatPr defaultRowHeight="14.4" x14ac:dyDescent="0.3"/>
  <cols>
    <col min="1" max="1" width="42.5546875" customWidth="1"/>
    <col min="2" max="2" width="17.77734375" bestFit="1" customWidth="1"/>
    <col min="3" max="10" width="17.21875" customWidth="1"/>
    <col min="11" max="13" width="17.21875" bestFit="1" customWidth="1"/>
    <col min="14" max="14" width="17.77734375" bestFit="1" customWidth="1"/>
    <col min="16" max="16" width="9.77734375" bestFit="1" customWidth="1"/>
  </cols>
  <sheetData>
    <row r="1" spans="1:14" ht="15" thickBot="1" x14ac:dyDescent="0.35">
      <c r="A1" s="4" t="s">
        <v>189</v>
      </c>
      <c r="B1">
        <v>3466449</v>
      </c>
      <c r="H1" s="227">
        <v>-2.1484340510968706E-2</v>
      </c>
      <c r="I1" t="s">
        <v>198</v>
      </c>
      <c r="J1" s="216">
        <v>3505950</v>
      </c>
    </row>
    <row r="2" spans="1:14" ht="15" thickBot="1" x14ac:dyDescent="0.35">
      <c r="A2" s="294" t="s">
        <v>62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45501</v>
      </c>
      <c r="C3" s="142">
        <v>45505</v>
      </c>
      <c r="D3" s="142">
        <v>45536</v>
      </c>
      <c r="E3" s="142">
        <v>45566</v>
      </c>
      <c r="F3" s="142">
        <v>45597</v>
      </c>
      <c r="G3" s="142">
        <v>45627</v>
      </c>
      <c r="H3" s="229">
        <v>45658</v>
      </c>
      <c r="I3" s="229">
        <v>45689</v>
      </c>
      <c r="J3" s="142">
        <v>45717</v>
      </c>
      <c r="K3" s="142">
        <v>45748</v>
      </c>
      <c r="L3" s="142">
        <v>45778</v>
      </c>
      <c r="M3" s="208">
        <v>45809</v>
      </c>
      <c r="N3" s="26" t="s">
        <v>2</v>
      </c>
    </row>
    <row r="4" spans="1:14" ht="15" thickBot="1" x14ac:dyDescent="0.35">
      <c r="A4" s="2" t="s">
        <v>3</v>
      </c>
      <c r="B4" s="191">
        <v>305425605.16000003</v>
      </c>
      <c r="C4" s="191">
        <v>293421324.94999999</v>
      </c>
      <c r="D4" s="191">
        <v>184400628.78</v>
      </c>
      <c r="E4" s="191">
        <v>154894645.19</v>
      </c>
      <c r="F4" s="200">
        <v>159086357.16</v>
      </c>
      <c r="G4" s="200">
        <v>145541861.58000001</v>
      </c>
      <c r="H4" s="200">
        <v>151214634.19</v>
      </c>
      <c r="I4" s="200">
        <v>164937904.80000001</v>
      </c>
      <c r="J4" s="200">
        <v>117721822.41</v>
      </c>
      <c r="K4" s="200">
        <v>157937639.59</v>
      </c>
      <c r="L4" s="200">
        <v>165228602.72999999</v>
      </c>
      <c r="M4" s="200">
        <v>297048364.04000002</v>
      </c>
      <c r="N4" s="30">
        <f>SUM(B4:M4)</f>
        <v>2296859390.5799999</v>
      </c>
    </row>
    <row r="5" spans="1:14" ht="15" thickBot="1" x14ac:dyDescent="0.35">
      <c r="A5" s="3" t="s">
        <v>4</v>
      </c>
      <c r="B5" s="191">
        <v>36471456.740000002</v>
      </c>
      <c r="C5" s="191">
        <v>42635932.229999997</v>
      </c>
      <c r="D5" s="191">
        <v>32930432.5</v>
      </c>
      <c r="E5" s="191">
        <v>23911952.460000001</v>
      </c>
      <c r="F5" s="200">
        <v>24177668.98</v>
      </c>
      <c r="G5" s="200">
        <v>23851506.399999999</v>
      </c>
      <c r="H5" s="200">
        <v>23365982.920000002</v>
      </c>
      <c r="I5" s="200">
        <v>25812851.73</v>
      </c>
      <c r="J5" s="200">
        <v>23975607</v>
      </c>
      <c r="K5" s="200">
        <v>24997353.469999999</v>
      </c>
      <c r="L5" s="200">
        <v>24147051.210000001</v>
      </c>
      <c r="M5" s="200">
        <v>33767084.729999997</v>
      </c>
      <c r="N5" s="23">
        <f t="shared" ref="N5:N9" si="0">SUM(B5:M5)</f>
        <v>340044880.37</v>
      </c>
    </row>
    <row r="6" spans="1:14" ht="15" thickBot="1" x14ac:dyDescent="0.35">
      <c r="A6" s="3" t="s">
        <v>5</v>
      </c>
      <c r="B6" s="191">
        <v>224675.87</v>
      </c>
      <c r="C6" s="191">
        <v>254873.98</v>
      </c>
      <c r="D6" s="191">
        <v>254873.98</v>
      </c>
      <c r="E6" s="191">
        <v>246738.36</v>
      </c>
      <c r="F6" s="200">
        <v>254873.98</v>
      </c>
      <c r="G6" s="200">
        <v>249914.92</v>
      </c>
      <c r="H6" s="200">
        <v>1133309.6499999999</v>
      </c>
      <c r="I6" s="200">
        <v>1416887.21</v>
      </c>
      <c r="J6" s="200">
        <v>1369707.9</v>
      </c>
      <c r="K6" s="200">
        <v>1588982.89</v>
      </c>
      <c r="L6" s="200">
        <v>1681019.8</v>
      </c>
      <c r="M6" s="200">
        <v>3389101.08</v>
      </c>
      <c r="N6" s="23">
        <f>SUM(B6:M6)</f>
        <v>12064959.619999999</v>
      </c>
    </row>
    <row r="7" spans="1:14" ht="15" thickBot="1" x14ac:dyDescent="0.35">
      <c r="A7" s="3" t="s">
        <v>6</v>
      </c>
      <c r="B7" s="191">
        <v>2583645.4500000002</v>
      </c>
      <c r="C7" s="191">
        <v>2951042.5</v>
      </c>
      <c r="D7" s="191">
        <v>2385073.5699999998</v>
      </c>
      <c r="E7" s="191">
        <v>1765172.1</v>
      </c>
      <c r="F7" s="200">
        <v>1873528.83</v>
      </c>
      <c r="G7" s="200">
        <v>1955554.11</v>
      </c>
      <c r="H7" s="200">
        <v>1975337.94</v>
      </c>
      <c r="I7" s="200">
        <v>1973078.59</v>
      </c>
      <c r="J7" s="200">
        <v>1685614.15</v>
      </c>
      <c r="K7" s="200">
        <v>1826243.71</v>
      </c>
      <c r="L7" s="200">
        <v>1977589.24</v>
      </c>
      <c r="M7" s="200">
        <v>2638635.71</v>
      </c>
      <c r="N7" s="23">
        <f t="shared" si="0"/>
        <v>25590515.899999999</v>
      </c>
    </row>
    <row r="8" spans="1:14" ht="15" thickBot="1" x14ac:dyDescent="0.35">
      <c r="A8" s="3" t="s">
        <v>63</v>
      </c>
      <c r="B8" s="191">
        <v>467596.98</v>
      </c>
      <c r="C8" s="191">
        <v>550530.6</v>
      </c>
      <c r="D8" s="191">
        <v>516122.44</v>
      </c>
      <c r="E8" s="191">
        <v>516122.44</v>
      </c>
      <c r="F8" s="200">
        <v>533326.52</v>
      </c>
      <c r="G8" s="200">
        <v>516122.44</v>
      </c>
      <c r="H8" s="200">
        <v>567734.68999999994</v>
      </c>
      <c r="I8" s="200">
        <v>481714.28</v>
      </c>
      <c r="J8" s="200">
        <v>481714.28</v>
      </c>
      <c r="K8" s="200">
        <v>573756.11</v>
      </c>
      <c r="L8" s="200">
        <v>661272.14</v>
      </c>
      <c r="M8" s="200">
        <v>661272.14</v>
      </c>
      <c r="N8" s="23">
        <f t="shared" si="0"/>
        <v>6527285.0599999996</v>
      </c>
    </row>
    <row r="9" spans="1:14" ht="15" thickBot="1" x14ac:dyDescent="0.35">
      <c r="A9" s="4" t="s">
        <v>167</v>
      </c>
      <c r="B9" s="191">
        <v>7744.28</v>
      </c>
      <c r="C9" s="191">
        <v>8062.33</v>
      </c>
      <c r="D9" s="191">
        <v>8062.33</v>
      </c>
      <c r="E9" s="191">
        <v>7801.24</v>
      </c>
      <c r="F9" s="191">
        <v>8062.33</v>
      </c>
      <c r="G9" s="191">
        <v>7801.24</v>
      </c>
      <c r="H9" s="200">
        <v>8062.33</v>
      </c>
      <c r="I9" s="200">
        <v>8240.5560000000005</v>
      </c>
      <c r="J9" s="200">
        <v>8374.94</v>
      </c>
      <c r="K9" s="200">
        <v>9271.68</v>
      </c>
      <c r="L9" s="200">
        <v>8971.43</v>
      </c>
      <c r="M9" s="200">
        <v>8062.33</v>
      </c>
      <c r="N9" s="30">
        <f t="shared" si="0"/>
        <v>98517.015999999989</v>
      </c>
    </row>
    <row r="10" spans="1:14" ht="15" thickBot="1" x14ac:dyDescent="0.35">
      <c r="A10" s="1" t="s">
        <v>7</v>
      </c>
      <c r="B10" s="155">
        <f t="shared" ref="B10:L10" si="1">SUM(B4:B9)</f>
        <v>345180724.48000002</v>
      </c>
      <c r="C10" s="155">
        <f t="shared" si="1"/>
        <v>339821766.59000003</v>
      </c>
      <c r="D10" s="155">
        <f t="shared" si="1"/>
        <v>220495193.59999999</v>
      </c>
      <c r="E10" s="155">
        <f t="shared" si="1"/>
        <v>181342431.79000002</v>
      </c>
      <c r="F10" s="155">
        <f t="shared" si="1"/>
        <v>185933817.80000001</v>
      </c>
      <c r="G10" s="155">
        <f t="shared" si="1"/>
        <v>172122760.69000003</v>
      </c>
      <c r="H10" s="228">
        <f>SUM(H4:H9)</f>
        <v>178265061.72000003</v>
      </c>
      <c r="I10" s="228">
        <f>SUM(I4:I9)</f>
        <v>194630677.16600001</v>
      </c>
      <c r="J10" s="233">
        <f t="shared" si="1"/>
        <v>145242840.68000001</v>
      </c>
      <c r="K10" s="233">
        <f t="shared" si="1"/>
        <v>186933247.45000002</v>
      </c>
      <c r="L10" s="233">
        <f t="shared" si="1"/>
        <v>193704506.55000001</v>
      </c>
      <c r="M10" s="233">
        <f>SUM(M4:M9)</f>
        <v>337512520.02999997</v>
      </c>
      <c r="N10" s="27">
        <f>SUM(N4:N9)</f>
        <v>2681185548.5459995</v>
      </c>
    </row>
    <row r="11" spans="1:14" x14ac:dyDescent="0.3">
      <c r="B11" s="307" t="s">
        <v>13</v>
      </c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60" t="s">
        <v>174</v>
      </c>
      <c r="N11" s="60"/>
    </row>
    <row r="12" spans="1:14" ht="15" thickBot="1" x14ac:dyDescent="0.35">
      <c r="B12" s="232">
        <f>B4*12.7%+B4</f>
        <v>344214657.01532006</v>
      </c>
    </row>
    <row r="13" spans="1:14" ht="15" thickBot="1" x14ac:dyDescent="0.35">
      <c r="A13" s="33" t="s">
        <v>57</v>
      </c>
      <c r="B13" s="34">
        <v>2534274096.550653</v>
      </c>
      <c r="F13" s="308" t="s">
        <v>180</v>
      </c>
      <c r="G13" s="308"/>
      <c r="H13" s="230">
        <f>SUM(B10:L10)/B13</f>
        <v>0.92479066558188172</v>
      </c>
      <c r="I13" s="32"/>
      <c r="J13" s="32"/>
      <c r="K13" s="32"/>
      <c r="L13" s="32"/>
      <c r="M13" s="32"/>
      <c r="N13" s="32"/>
    </row>
    <row r="14" spans="1:14" ht="15" thickBot="1" x14ac:dyDescent="0.35">
      <c r="A14" s="35" t="s">
        <v>60</v>
      </c>
      <c r="B14" s="36">
        <f>N10</f>
        <v>2681185548.5459995</v>
      </c>
      <c r="F14" s="308" t="s">
        <v>181</v>
      </c>
      <c r="G14" s="308"/>
      <c r="H14" s="230">
        <f>SUM(B10:L10)/B14</f>
        <v>0.87411817872394859</v>
      </c>
      <c r="I14" s="32"/>
      <c r="J14" s="32"/>
      <c r="K14" s="234"/>
      <c r="L14" s="234"/>
      <c r="M14" s="234"/>
      <c r="N14" s="32"/>
    </row>
    <row r="15" spans="1:14" ht="15" thickBot="1" x14ac:dyDescent="0.35">
      <c r="A15" s="37"/>
      <c r="B15" s="38">
        <f>B13-B14</f>
        <v>-146911451.99534655</v>
      </c>
      <c r="G15" s="32"/>
      <c r="H15" s="32"/>
      <c r="I15" s="32"/>
      <c r="J15" s="32"/>
      <c r="K15" s="32"/>
      <c r="L15" s="32"/>
      <c r="M15" s="32"/>
      <c r="N15" s="32"/>
    </row>
    <row r="16" spans="1:14" ht="15.6" thickTop="1" thickBot="1" x14ac:dyDescent="0.35"/>
    <row r="17" spans="1:14" ht="15" thickBot="1" x14ac:dyDescent="0.35">
      <c r="A17" s="294" t="s">
        <v>54</v>
      </c>
      <c r="B17" s="295"/>
      <c r="C17" s="295"/>
      <c r="D17" s="295"/>
      <c r="E17" s="295"/>
      <c r="F17" s="295"/>
      <c r="G17" s="300"/>
      <c r="H17" s="300"/>
      <c r="I17" s="300"/>
      <c r="J17" s="300"/>
      <c r="K17" s="300"/>
      <c r="L17" s="300"/>
      <c r="M17" s="300"/>
      <c r="N17" s="296"/>
    </row>
    <row r="18" spans="1:14" ht="15" thickBot="1" x14ac:dyDescent="0.35">
      <c r="A18" s="1" t="s">
        <v>1</v>
      </c>
      <c r="B18" s="142">
        <f t="shared" ref="B18:M18" si="2">+B3</f>
        <v>45501</v>
      </c>
      <c r="C18" s="142">
        <f t="shared" si="2"/>
        <v>45505</v>
      </c>
      <c r="D18" s="142">
        <f t="shared" si="2"/>
        <v>45536</v>
      </c>
      <c r="E18" s="142">
        <f t="shared" si="2"/>
        <v>45566</v>
      </c>
      <c r="F18" s="218">
        <f t="shared" si="2"/>
        <v>45597</v>
      </c>
      <c r="G18" s="142">
        <f t="shared" si="2"/>
        <v>45627</v>
      </c>
      <c r="H18" s="229">
        <f t="shared" si="2"/>
        <v>45658</v>
      </c>
      <c r="I18" s="229">
        <f t="shared" si="2"/>
        <v>45689</v>
      </c>
      <c r="J18" s="142">
        <f t="shared" si="2"/>
        <v>45717</v>
      </c>
      <c r="K18" s="142">
        <f t="shared" si="2"/>
        <v>45748</v>
      </c>
      <c r="L18" s="40">
        <f t="shared" si="2"/>
        <v>45778</v>
      </c>
      <c r="M18" s="210">
        <f t="shared" si="2"/>
        <v>45809</v>
      </c>
      <c r="N18" s="209" t="s">
        <v>2</v>
      </c>
    </row>
    <row r="19" spans="1:14" ht="15" thickBot="1" x14ac:dyDescent="0.35">
      <c r="A19" s="2" t="s">
        <v>9</v>
      </c>
      <c r="B19" s="191">
        <v>512614.61</v>
      </c>
      <c r="C19" s="191">
        <v>512614.61</v>
      </c>
      <c r="D19" s="191">
        <v>571562.80000000005</v>
      </c>
      <c r="E19" s="191">
        <v>419432.71</v>
      </c>
      <c r="F19" s="200">
        <v>433058.77</v>
      </c>
      <c r="G19" s="200">
        <v>410348.51</v>
      </c>
      <c r="H19" s="200">
        <v>437284.76</v>
      </c>
      <c r="I19" s="200">
        <v>432220.6</v>
      </c>
      <c r="J19" s="200">
        <v>381907.3</v>
      </c>
      <c r="K19" s="200">
        <v>434317.87</v>
      </c>
      <c r="L19" s="200">
        <v>427706.07</v>
      </c>
      <c r="M19" s="200">
        <v>493438.52</v>
      </c>
      <c r="N19" s="163">
        <f>SUM(B19:M19)</f>
        <v>5466507.129999999</v>
      </c>
    </row>
    <row r="20" spans="1:14" ht="15" thickBot="1" x14ac:dyDescent="0.35">
      <c r="A20" s="3" t="s">
        <v>10</v>
      </c>
      <c r="B20" s="191">
        <v>2210945.39</v>
      </c>
      <c r="C20" s="191">
        <v>2210945.39</v>
      </c>
      <c r="D20" s="191">
        <v>2865458.93</v>
      </c>
      <c r="E20" s="191">
        <v>1446375.72</v>
      </c>
      <c r="F20" s="200">
        <v>1493752.24</v>
      </c>
      <c r="G20" s="200">
        <v>1358688.37</v>
      </c>
      <c r="H20" s="200">
        <v>1396734.85</v>
      </c>
      <c r="I20" s="200">
        <v>1470241.16</v>
      </c>
      <c r="J20" s="200">
        <v>1285918.92</v>
      </c>
      <c r="K20" s="200">
        <v>1456534.99</v>
      </c>
      <c r="L20" s="200">
        <v>1523020.45</v>
      </c>
      <c r="M20" s="200">
        <v>2256771.2400000002</v>
      </c>
      <c r="N20" s="163">
        <f t="shared" ref="N20:N22" si="3">SUM(B20:M20)</f>
        <v>20975387.649999999</v>
      </c>
    </row>
    <row r="21" spans="1:14" ht="15" thickBot="1" x14ac:dyDescent="0.35">
      <c r="A21" s="3" t="s">
        <v>11</v>
      </c>
      <c r="B21" s="191">
        <v>831567.22</v>
      </c>
      <c r="C21" s="191">
        <v>831567.22</v>
      </c>
      <c r="D21" s="191">
        <v>976963.01</v>
      </c>
      <c r="E21" s="191">
        <v>525094.05000000005</v>
      </c>
      <c r="F21" s="200">
        <v>509659.32</v>
      </c>
      <c r="G21" s="200">
        <v>460432.08</v>
      </c>
      <c r="H21" s="200">
        <v>495671.28</v>
      </c>
      <c r="I21" s="200">
        <v>477483.49</v>
      </c>
      <c r="J21" s="200">
        <v>447796.87</v>
      </c>
      <c r="K21" s="200">
        <v>483211.32</v>
      </c>
      <c r="L21" s="200">
        <v>532554.82999999996</v>
      </c>
      <c r="M21" s="200">
        <v>770999.15</v>
      </c>
      <c r="N21" s="163">
        <f t="shared" si="3"/>
        <v>7342999.8400000008</v>
      </c>
    </row>
    <row r="22" spans="1:14" ht="15" thickBot="1" x14ac:dyDescent="0.35">
      <c r="A22" s="3" t="s">
        <v>12</v>
      </c>
      <c r="B22" s="191">
        <v>150836.26</v>
      </c>
      <c r="C22" s="191">
        <v>167575.67000000001</v>
      </c>
      <c r="D22" s="191">
        <v>130918.16</v>
      </c>
      <c r="E22" s="191">
        <v>105398.82</v>
      </c>
      <c r="F22" s="200">
        <v>105847.58</v>
      </c>
      <c r="G22" s="191">
        <v>96007.4</v>
      </c>
      <c r="H22" s="200">
        <v>110168.43</v>
      </c>
      <c r="I22" s="200">
        <v>107276.44</v>
      </c>
      <c r="J22" s="200">
        <v>96521.79</v>
      </c>
      <c r="K22" s="200">
        <v>112143.24</v>
      </c>
      <c r="L22" s="200">
        <v>122224.61</v>
      </c>
      <c r="M22" s="200">
        <v>165424.54</v>
      </c>
      <c r="N22" s="163">
        <f t="shared" si="3"/>
        <v>1470342.9400000002</v>
      </c>
    </row>
    <row r="23" spans="1:14" ht="15" thickBot="1" x14ac:dyDescent="0.35">
      <c r="A23" s="1" t="s">
        <v>7</v>
      </c>
      <c r="B23" s="155">
        <f t="shared" ref="B23:L23" si="4">SUM(B19:B22)</f>
        <v>3705963.4799999995</v>
      </c>
      <c r="C23" s="155">
        <f t="shared" si="4"/>
        <v>3722702.8899999997</v>
      </c>
      <c r="D23" s="155">
        <f t="shared" si="4"/>
        <v>4544902.9000000004</v>
      </c>
      <c r="E23" s="155">
        <f t="shared" si="4"/>
        <v>2496301.2999999998</v>
      </c>
      <c r="F23" s="155">
        <f t="shared" si="4"/>
        <v>2542317.91</v>
      </c>
      <c r="G23" s="155">
        <f t="shared" si="4"/>
        <v>2325476.36</v>
      </c>
      <c r="H23" s="228">
        <f t="shared" si="4"/>
        <v>2439859.3200000003</v>
      </c>
      <c r="I23" s="228">
        <f t="shared" si="4"/>
        <v>2487221.69</v>
      </c>
      <c r="J23" s="233">
        <f t="shared" si="4"/>
        <v>2212144.88</v>
      </c>
      <c r="K23" s="233">
        <f t="shared" si="4"/>
        <v>2486207.42</v>
      </c>
      <c r="L23" s="233">
        <f t="shared" si="4"/>
        <v>2605505.96</v>
      </c>
      <c r="M23" s="233">
        <f>SUM(M19:M22)</f>
        <v>3686633.45</v>
      </c>
      <c r="N23" s="163">
        <f>SUM(N19:N22)</f>
        <v>35255237.559999995</v>
      </c>
    </row>
    <row r="24" spans="1:14" x14ac:dyDescent="0.3">
      <c r="B24" s="307" t="s">
        <v>13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60"/>
    </row>
    <row r="25" spans="1:14" ht="15" thickBot="1" x14ac:dyDescent="0.3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thickBot="1" x14ac:dyDescent="0.35">
      <c r="A26" s="33" t="s">
        <v>57</v>
      </c>
      <c r="B26" s="34">
        <v>34916186.449346952</v>
      </c>
      <c r="F26" s="308" t="s">
        <v>180</v>
      </c>
      <c r="G26" s="308"/>
      <c r="H26" s="230">
        <f>SUM(B23:M23)/B26</f>
        <v>1.0097104278883637</v>
      </c>
      <c r="K26" s="309" t="s">
        <v>200</v>
      </c>
      <c r="L26" s="309"/>
      <c r="M26" s="309"/>
    </row>
    <row r="27" spans="1:14" ht="15" thickBot="1" x14ac:dyDescent="0.35">
      <c r="A27" s="35" t="s">
        <v>60</v>
      </c>
      <c r="B27" s="36">
        <f>N23</f>
        <v>35255237.559999995</v>
      </c>
      <c r="F27" s="308" t="s">
        <v>181</v>
      </c>
      <c r="G27" s="308"/>
      <c r="H27" s="230">
        <f>SUM(B23:M23)/B27</f>
        <v>1.0000000000000002</v>
      </c>
      <c r="K27" s="142">
        <v>45748</v>
      </c>
      <c r="L27" s="142">
        <v>45778</v>
      </c>
      <c r="M27" s="210">
        <v>45809</v>
      </c>
    </row>
    <row r="28" spans="1:14" ht="15" thickBot="1" x14ac:dyDescent="0.35">
      <c r="A28" s="37"/>
      <c r="B28" s="38">
        <f>B26-B27</f>
        <v>-339051.11065304279</v>
      </c>
      <c r="K28" s="166">
        <f>K10+K23</f>
        <v>189419454.87</v>
      </c>
      <c r="L28" s="166">
        <f>L10+L23</f>
        <v>196310012.51000002</v>
      </c>
      <c r="M28" s="166">
        <f>M10+M23</f>
        <v>341199153.47999996</v>
      </c>
    </row>
    <row r="29" spans="1:14" ht="15" thickTop="1" x14ac:dyDescent="0.3"/>
    <row r="30" spans="1:14" ht="15" thickBot="1" x14ac:dyDescent="0.35"/>
    <row r="31" spans="1:14" ht="15" thickBot="1" x14ac:dyDescent="0.35">
      <c r="A31" s="33" t="s">
        <v>57</v>
      </c>
      <c r="B31" s="34">
        <f>B26+B13</f>
        <v>2569190283</v>
      </c>
      <c r="E31" s="166"/>
      <c r="F31" s="308" t="s">
        <v>180</v>
      </c>
      <c r="G31" s="308"/>
      <c r="H31" s="230">
        <f>SUM(B10:L10,B23:M23)/B31</f>
        <v>0.92594475458554448</v>
      </c>
    </row>
    <row r="32" spans="1:14" ht="15" thickBot="1" x14ac:dyDescent="0.35">
      <c r="A32" s="35" t="str">
        <f>"Total "&amp;A27</f>
        <v xml:space="preserve">Total Mid Year Review 2024/2025 Projection </v>
      </c>
      <c r="B32" s="189">
        <f>B14+B27</f>
        <v>2716440786.1059995</v>
      </c>
      <c r="C32" s="231" t="s">
        <v>197</v>
      </c>
      <c r="E32" s="4"/>
      <c r="F32" s="308" t="s">
        <v>181</v>
      </c>
      <c r="G32" s="308"/>
      <c r="H32" s="230">
        <f>SUM(B10:L10,B23:M23)/B32</f>
        <v>0.87575193180859989</v>
      </c>
      <c r="J32" s="166">
        <f>B32*12.7%+B32</f>
        <v>3061428765.9414616</v>
      </c>
    </row>
    <row r="33" spans="1:3" ht="15" thickBot="1" x14ac:dyDescent="0.35">
      <c r="A33" s="216"/>
      <c r="B33" s="217"/>
    </row>
    <row r="34" spans="1:3" ht="29.4" thickBot="1" x14ac:dyDescent="0.35">
      <c r="A34" s="188" t="s">
        <v>179</v>
      </c>
      <c r="B34" s="38">
        <f>B31-B32</f>
        <v>-147250503.10599947</v>
      </c>
    </row>
    <row r="38" spans="1:3" x14ac:dyDescent="0.3">
      <c r="A38" s="312" t="s">
        <v>187</v>
      </c>
      <c r="B38" s="313"/>
      <c r="C38" s="314"/>
    </row>
    <row r="39" spans="1:3" x14ac:dyDescent="0.3">
      <c r="A39" s="310" t="s">
        <v>182</v>
      </c>
      <c r="B39" s="311"/>
      <c r="C39" s="224">
        <v>4140318772.3913798</v>
      </c>
    </row>
    <row r="40" spans="1:3" x14ac:dyDescent="0.3">
      <c r="A40" s="310" t="s">
        <v>183</v>
      </c>
      <c r="B40" s="311"/>
      <c r="C40" s="225">
        <f>B31</f>
        <v>2569190283</v>
      </c>
    </row>
    <row r="41" spans="1:3" ht="15" thickBot="1" x14ac:dyDescent="0.35">
      <c r="A41" s="310" t="s">
        <v>184</v>
      </c>
      <c r="B41" s="311"/>
      <c r="C41" s="226">
        <f>C40/C39</f>
        <v>0.62052958340598452</v>
      </c>
    </row>
    <row r="42" spans="1:3" ht="15" thickTop="1" x14ac:dyDescent="0.3">
      <c r="A42" s="312" t="s">
        <v>188</v>
      </c>
      <c r="B42" s="313"/>
      <c r="C42" s="314"/>
    </row>
    <row r="43" spans="1:3" x14ac:dyDescent="0.3">
      <c r="A43" s="310" t="s">
        <v>185</v>
      </c>
      <c r="B43" s="311"/>
      <c r="C43" s="224">
        <v>4272279042.8613782</v>
      </c>
    </row>
    <row r="44" spans="1:3" x14ac:dyDescent="0.3">
      <c r="A44" s="310" t="s">
        <v>186</v>
      </c>
      <c r="B44" s="311"/>
      <c r="C44" s="225">
        <f>B32</f>
        <v>2716440786.1059995</v>
      </c>
    </row>
    <row r="45" spans="1:3" ht="15" thickBot="1" x14ac:dyDescent="0.35">
      <c r="A45" s="310" t="s">
        <v>184</v>
      </c>
      <c r="B45" s="311"/>
      <c r="C45" s="226">
        <f>C44/C43</f>
        <v>0.63582943877342124</v>
      </c>
    </row>
    <row r="46" spans="1:3" ht="15" thickTop="1" x14ac:dyDescent="0.3">
      <c r="A46" s="221"/>
      <c r="B46" s="222"/>
      <c r="C46" s="223"/>
    </row>
  </sheetData>
  <mergeCells count="19">
    <mergeCell ref="A45:B45"/>
    <mergeCell ref="A42:C42"/>
    <mergeCell ref="A43:B43"/>
    <mergeCell ref="A44:B44"/>
    <mergeCell ref="A38:C38"/>
    <mergeCell ref="A39:B39"/>
    <mergeCell ref="A40:B40"/>
    <mergeCell ref="A41:B41"/>
    <mergeCell ref="F26:G26"/>
    <mergeCell ref="F27:G27"/>
    <mergeCell ref="F31:G31"/>
    <mergeCell ref="F32:G32"/>
    <mergeCell ref="B24:M24"/>
    <mergeCell ref="K26:M26"/>
    <mergeCell ref="A17:N17"/>
    <mergeCell ref="A2:N2"/>
    <mergeCell ref="F13:G13"/>
    <mergeCell ref="F14:G14"/>
    <mergeCell ref="B11:L11"/>
  </mergeCells>
  <pageMargins left="0.7" right="0.7" top="0.75" bottom="0.75" header="0.3" footer="0.3"/>
  <pageSetup paperSize="9" scale="4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93C1-0C7C-4611-B28A-82113F3EE680}">
  <dimension ref="B2:M6"/>
  <sheetViews>
    <sheetView workbookViewId="0">
      <selection activeCell="J2" sqref="J2:M5"/>
    </sheetView>
  </sheetViews>
  <sheetFormatPr defaultRowHeight="14.4" x14ac:dyDescent="0.3"/>
  <cols>
    <col min="2" max="2" width="9.21875" customWidth="1"/>
    <col min="3" max="3" width="17" customWidth="1"/>
    <col min="4" max="4" width="17.77734375" customWidth="1"/>
    <col min="5" max="5" width="16.77734375" customWidth="1"/>
    <col min="10" max="10" width="19.21875" customWidth="1"/>
    <col min="11" max="12" width="16.77734375" bestFit="1" customWidth="1"/>
    <col min="13" max="13" width="18.44140625" customWidth="1"/>
  </cols>
  <sheetData>
    <row r="2" spans="2:13" ht="43.2" x14ac:dyDescent="0.3">
      <c r="B2" s="251" t="s">
        <v>64</v>
      </c>
      <c r="C2" s="251" t="s">
        <v>201</v>
      </c>
      <c r="D2" s="251" t="s">
        <v>202</v>
      </c>
      <c r="E2" s="251" t="s">
        <v>203</v>
      </c>
      <c r="F2" s="251" t="s">
        <v>204</v>
      </c>
      <c r="J2" s="259" t="s">
        <v>206</v>
      </c>
      <c r="K2" s="259" t="s">
        <v>207</v>
      </c>
      <c r="L2" s="259" t="s">
        <v>208</v>
      </c>
      <c r="M2" s="259" t="s">
        <v>203</v>
      </c>
    </row>
    <row r="3" spans="2:13" x14ac:dyDescent="0.3">
      <c r="B3" s="252">
        <v>45748</v>
      </c>
      <c r="C3" s="253">
        <v>193111987.34</v>
      </c>
      <c r="D3" s="253">
        <v>189419454.87</v>
      </c>
      <c r="E3" s="258">
        <f>D3-C3</f>
        <v>-3692532.4699999988</v>
      </c>
      <c r="F3" s="254">
        <f>E3/C3</f>
        <v>-1.9121197605919675E-2</v>
      </c>
      <c r="J3" s="260" t="s">
        <v>209</v>
      </c>
      <c r="K3" s="261">
        <v>4409115099.4799995</v>
      </c>
      <c r="L3" s="261">
        <v>4366383587.5</v>
      </c>
      <c r="M3" s="261">
        <f>L3-K3</f>
        <v>-42731511.979999542</v>
      </c>
    </row>
    <row r="4" spans="2:13" ht="26.4" x14ac:dyDescent="0.3">
      <c r="B4" s="252">
        <v>45778</v>
      </c>
      <c r="C4" s="253">
        <v>202432216.25</v>
      </c>
      <c r="D4" s="253">
        <v>196310012.50999999</v>
      </c>
      <c r="E4" s="258">
        <f>D4-C4</f>
        <v>-6122203.7400000095</v>
      </c>
      <c r="F4" s="254">
        <f>E4/C4</f>
        <v>-3.0243228342860223E-2</v>
      </c>
      <c r="J4" s="260" t="s">
        <v>210</v>
      </c>
      <c r="K4" s="261">
        <v>2974984862.3600001</v>
      </c>
      <c r="L4" s="261">
        <v>3025364680.04</v>
      </c>
      <c r="M4" s="261">
        <f>K4-L4</f>
        <v>-50379817.679999828</v>
      </c>
    </row>
    <row r="5" spans="2:13" ht="26.4" x14ac:dyDescent="0.3">
      <c r="B5" s="252">
        <v>45809</v>
      </c>
      <c r="C5" s="253">
        <v>253745176.63</v>
      </c>
      <c r="D5" s="253">
        <v>342477267.88</v>
      </c>
      <c r="E5" s="258">
        <f>D5-C5</f>
        <v>88732091.25</v>
      </c>
      <c r="F5" s="254">
        <f>E5/C5</f>
        <v>0.34968976525368684</v>
      </c>
      <c r="J5" s="259" t="s">
        <v>211</v>
      </c>
      <c r="K5" s="262"/>
      <c r="L5" s="262"/>
      <c r="M5" s="263">
        <f>SUM(M3:M4)</f>
        <v>-93111329.659999371</v>
      </c>
    </row>
    <row r="6" spans="2:13" ht="28.8" x14ac:dyDescent="0.3">
      <c r="B6" s="255" t="s">
        <v>205</v>
      </c>
      <c r="C6" s="256">
        <f>SUM(C3:C5)</f>
        <v>649289380.22000003</v>
      </c>
      <c r="D6" s="256">
        <f>SUM(D3:D5)</f>
        <v>728206735.25999999</v>
      </c>
      <c r="E6" s="256">
        <f>SUM(E3:E5)</f>
        <v>78917355.039999992</v>
      </c>
      <c r="F6" s="257">
        <f>E6/C6</f>
        <v>0.12154419499863106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29E2-22CA-4442-937F-C7FE77FF6ADF}">
  <sheetPr>
    <tabColor rgb="FF92D050"/>
  </sheetPr>
  <dimension ref="A1:N46"/>
  <sheetViews>
    <sheetView workbookViewId="0">
      <selection activeCell="H15" sqref="H15"/>
    </sheetView>
  </sheetViews>
  <sheetFormatPr defaultRowHeight="14.4" x14ac:dyDescent="0.3"/>
  <cols>
    <col min="1" max="1" width="42.5546875" customWidth="1"/>
    <col min="2" max="2" width="17.77734375" bestFit="1" customWidth="1"/>
    <col min="3" max="13" width="17.21875" bestFit="1" customWidth="1"/>
    <col min="14" max="14" width="17.77734375" bestFit="1" customWidth="1"/>
    <col min="16" max="16" width="9.77734375" bestFit="1" customWidth="1"/>
  </cols>
  <sheetData>
    <row r="1" spans="1:14" ht="15" thickBot="1" x14ac:dyDescent="0.35">
      <c r="H1" s="219">
        <v>-1.3393405448831899E-2</v>
      </c>
    </row>
    <row r="2" spans="1:14" ht="15" thickBot="1" x14ac:dyDescent="0.35">
      <c r="A2" s="294" t="s">
        <v>62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40">
        <v>45501</v>
      </c>
      <c r="C3" s="40">
        <v>45505</v>
      </c>
      <c r="D3" s="40">
        <v>45536</v>
      </c>
      <c r="E3" s="40">
        <v>45566</v>
      </c>
      <c r="F3" s="40">
        <v>45597</v>
      </c>
      <c r="G3" s="40">
        <v>45627</v>
      </c>
      <c r="H3" s="40">
        <v>45658</v>
      </c>
      <c r="I3" s="40">
        <v>45689</v>
      </c>
      <c r="J3" s="40">
        <v>45717</v>
      </c>
      <c r="K3" s="40">
        <v>45748</v>
      </c>
      <c r="L3" s="40">
        <v>45778</v>
      </c>
      <c r="M3" s="208">
        <v>45444</v>
      </c>
      <c r="N3" s="26" t="s">
        <v>2</v>
      </c>
    </row>
    <row r="4" spans="1:14" ht="15" thickBot="1" x14ac:dyDescent="0.35">
      <c r="A4" s="2" t="s">
        <v>3</v>
      </c>
      <c r="B4" s="191">
        <v>308892054.16000003</v>
      </c>
      <c r="C4" s="191">
        <v>296927274.94999999</v>
      </c>
      <c r="D4" s="191">
        <v>187906578.78</v>
      </c>
      <c r="E4" s="191">
        <v>158400595.19</v>
      </c>
      <c r="F4" s="200">
        <v>162592307.16</v>
      </c>
      <c r="G4" s="200">
        <v>149047811.58000001</v>
      </c>
      <c r="H4" s="200">
        <v>151214634.19</v>
      </c>
      <c r="I4" s="200">
        <v>164937904.80000001</v>
      </c>
      <c r="J4" s="200">
        <v>117721822.41</v>
      </c>
      <c r="K4" s="200">
        <v>157937639.59</v>
      </c>
      <c r="L4" s="200">
        <v>165228602.72999999</v>
      </c>
      <c r="M4" s="211">
        <f>('MMM 20242025 Bulk Purchases1stP'!M4*'20242025BudgetAdjustment'!$H$1+'MMM 20242025 Bulk Purchases1stP'!M4)</f>
        <v>300792696.66496074</v>
      </c>
      <c r="N4" s="30">
        <f>SUM(B4:M4)</f>
        <v>2321599922.2049608</v>
      </c>
    </row>
    <row r="5" spans="1:14" ht="15" thickBot="1" x14ac:dyDescent="0.35">
      <c r="A5" s="3" t="s">
        <v>4</v>
      </c>
      <c r="B5" s="191">
        <v>36471456.740000002</v>
      </c>
      <c r="C5" s="191">
        <v>42635932.229999997</v>
      </c>
      <c r="D5" s="191">
        <v>32930432.5</v>
      </c>
      <c r="E5" s="191">
        <v>23911952.460000001</v>
      </c>
      <c r="F5" s="200">
        <v>24177668.98</v>
      </c>
      <c r="G5" s="200">
        <v>23851506.399999999</v>
      </c>
      <c r="H5" s="200">
        <v>23365982.920000002</v>
      </c>
      <c r="I5" s="200">
        <v>25812851.73</v>
      </c>
      <c r="J5" s="200">
        <v>23975607</v>
      </c>
      <c r="K5" s="200">
        <v>24997353.469999999</v>
      </c>
      <c r="L5" s="200">
        <v>24147051.210000001</v>
      </c>
      <c r="M5" s="200">
        <v>33767084.729999997</v>
      </c>
      <c r="N5" s="30">
        <f t="shared" ref="N5:N9" si="0">SUM(B5:M5)</f>
        <v>340044880.37</v>
      </c>
    </row>
    <row r="6" spans="1:14" ht="15" thickBot="1" x14ac:dyDescent="0.35">
      <c r="A6" s="3" t="s">
        <v>5</v>
      </c>
      <c r="B6" s="191">
        <v>224675.87</v>
      </c>
      <c r="C6" s="191">
        <v>254873.98</v>
      </c>
      <c r="D6" s="191">
        <v>254873.98</v>
      </c>
      <c r="E6" s="191">
        <v>246738.36</v>
      </c>
      <c r="F6" s="200">
        <v>254873.98</v>
      </c>
      <c r="G6" s="200">
        <v>249914.92</v>
      </c>
      <c r="H6" s="200">
        <v>1133309.6499999999</v>
      </c>
      <c r="I6" s="200">
        <v>1416887.21</v>
      </c>
      <c r="J6" s="200">
        <v>1369707.9</v>
      </c>
      <c r="K6" s="200">
        <v>1588982.89</v>
      </c>
      <c r="L6" s="200">
        <v>1681019.8</v>
      </c>
      <c r="M6" s="200">
        <v>3389101.08</v>
      </c>
      <c r="N6" s="30">
        <f>SUM(B6:M6)</f>
        <v>12064959.619999999</v>
      </c>
    </row>
    <row r="7" spans="1:14" ht="15" thickBot="1" x14ac:dyDescent="0.35">
      <c r="A7" s="3" t="s">
        <v>6</v>
      </c>
      <c r="B7" s="191">
        <v>2583645.4500000002</v>
      </c>
      <c r="C7" s="191">
        <v>2951042.5</v>
      </c>
      <c r="D7" s="191">
        <v>2385073.5699999998</v>
      </c>
      <c r="E7" s="191">
        <v>1765172.1</v>
      </c>
      <c r="F7" s="200">
        <v>1873528.83</v>
      </c>
      <c r="G7" s="200">
        <v>1955554.11</v>
      </c>
      <c r="H7" s="200">
        <v>1975337.94</v>
      </c>
      <c r="I7" s="200">
        <v>1973078.59</v>
      </c>
      <c r="J7" s="200">
        <v>1685614.15</v>
      </c>
      <c r="K7" s="200">
        <v>1826243.71</v>
      </c>
      <c r="L7" s="200">
        <v>1977589.24</v>
      </c>
      <c r="M7" s="200">
        <v>2638635.71</v>
      </c>
      <c r="N7" s="30">
        <f t="shared" si="0"/>
        <v>25590515.899999999</v>
      </c>
    </row>
    <row r="8" spans="1:14" ht="15" thickBot="1" x14ac:dyDescent="0.35">
      <c r="A8" s="3" t="s">
        <v>63</v>
      </c>
      <c r="B8" s="191">
        <v>467596.98</v>
      </c>
      <c r="C8" s="191">
        <v>550530.6</v>
      </c>
      <c r="D8" s="191">
        <v>516122.44</v>
      </c>
      <c r="E8" s="191">
        <v>516122.44</v>
      </c>
      <c r="F8" s="200">
        <v>533326.52</v>
      </c>
      <c r="G8" s="200">
        <v>516122.44</v>
      </c>
      <c r="H8" s="200">
        <v>567734.68999999994</v>
      </c>
      <c r="I8" s="200">
        <v>481714.28</v>
      </c>
      <c r="J8" s="200">
        <v>481714.28</v>
      </c>
      <c r="K8" s="200">
        <v>573756.11</v>
      </c>
      <c r="L8" s="200">
        <v>661272.14</v>
      </c>
      <c r="M8" s="200">
        <v>661272.14</v>
      </c>
      <c r="N8" s="30">
        <f t="shared" si="0"/>
        <v>6527285.0599999996</v>
      </c>
    </row>
    <row r="9" spans="1:14" ht="15" thickBot="1" x14ac:dyDescent="0.35">
      <c r="A9" s="4" t="s">
        <v>167</v>
      </c>
      <c r="B9" s="191">
        <v>7744.28</v>
      </c>
      <c r="C9" s="191">
        <v>8062.33</v>
      </c>
      <c r="D9" s="191">
        <v>8062.33</v>
      </c>
      <c r="E9" s="191">
        <v>7801.24</v>
      </c>
      <c r="F9" s="191">
        <v>8062.33</v>
      </c>
      <c r="G9" s="191">
        <v>7801.24</v>
      </c>
      <c r="H9" s="200">
        <v>8062.33</v>
      </c>
      <c r="I9" s="200">
        <v>8240.5560000000005</v>
      </c>
      <c r="J9" s="200">
        <v>8374.94</v>
      </c>
      <c r="K9" s="200">
        <v>9271.68</v>
      </c>
      <c r="L9" s="200">
        <v>8971.43</v>
      </c>
      <c r="M9" s="211">
        <f>('MMM 20242025 Bulk Purchases1stP'!M9*'20242025BudgetAdjustment'!$H$1+'MMM 20242025 Bulk Purchases1stP'!M9)</f>
        <v>8647.1354634580548</v>
      </c>
      <c r="N9" s="30">
        <f t="shared" si="0"/>
        <v>99101.821463458036</v>
      </c>
    </row>
    <row r="10" spans="1:14" ht="15" thickBot="1" x14ac:dyDescent="0.35">
      <c r="A10" s="1" t="s">
        <v>7</v>
      </c>
      <c r="B10" s="155">
        <f t="shared" ref="B10:L10" si="1">SUM(B4:B9)</f>
        <v>348647173.48000002</v>
      </c>
      <c r="C10" s="155">
        <f t="shared" si="1"/>
        <v>343327716.59000003</v>
      </c>
      <c r="D10" s="155">
        <f t="shared" si="1"/>
        <v>224001143.59999999</v>
      </c>
      <c r="E10" s="155">
        <f t="shared" si="1"/>
        <v>184848381.79000002</v>
      </c>
      <c r="F10" s="155">
        <f t="shared" si="1"/>
        <v>189439767.80000001</v>
      </c>
      <c r="G10" s="155">
        <f t="shared" si="1"/>
        <v>175628710.69000003</v>
      </c>
      <c r="H10" s="155">
        <f t="shared" si="1"/>
        <v>178265061.72000003</v>
      </c>
      <c r="I10" s="155">
        <f t="shared" si="1"/>
        <v>194630677.16600001</v>
      </c>
      <c r="J10" s="155">
        <f t="shared" si="1"/>
        <v>145242840.68000001</v>
      </c>
      <c r="K10" s="155">
        <f t="shared" si="1"/>
        <v>186933247.45000002</v>
      </c>
      <c r="L10" s="155">
        <f t="shared" si="1"/>
        <v>193704506.55000001</v>
      </c>
      <c r="M10" s="212">
        <f>SUM(M4:M9)</f>
        <v>341257437.46042418</v>
      </c>
      <c r="N10" s="27">
        <f>SUM(N4:N9)</f>
        <v>2705926664.9764242</v>
      </c>
    </row>
    <row r="11" spans="1:14" x14ac:dyDescent="0.3">
      <c r="B11" s="307" t="s">
        <v>13</v>
      </c>
      <c r="C11" s="307"/>
      <c r="D11" s="307"/>
      <c r="E11" s="307"/>
      <c r="F11" s="307"/>
      <c r="G11" s="307"/>
      <c r="H11" s="298" t="s">
        <v>174</v>
      </c>
      <c r="I11" s="298"/>
      <c r="J11" s="298"/>
      <c r="K11" s="298"/>
      <c r="L11" s="298"/>
      <c r="M11" s="298"/>
      <c r="N11" s="60"/>
    </row>
    <row r="12" spans="1:14" ht="15" thickBot="1" x14ac:dyDescent="0.35"/>
    <row r="13" spans="1:14" ht="15" thickBot="1" x14ac:dyDescent="0.35">
      <c r="A13" s="33" t="s">
        <v>57</v>
      </c>
      <c r="B13" s="34">
        <v>2534274096.550653</v>
      </c>
      <c r="F13" s="308" t="s">
        <v>180</v>
      </c>
      <c r="G13" s="308"/>
      <c r="H13" s="220">
        <f>SUM(B10:H10)/B13</f>
        <v>0.64876879651961439</v>
      </c>
      <c r="I13" s="32"/>
      <c r="J13" s="32"/>
      <c r="K13" s="32"/>
      <c r="L13" s="32"/>
      <c r="M13" s="32"/>
      <c r="N13" s="32"/>
    </row>
    <row r="14" spans="1:14" ht="15" thickBot="1" x14ac:dyDescent="0.35">
      <c r="A14" s="35" t="s">
        <v>60</v>
      </c>
      <c r="B14" s="36">
        <f>N10</f>
        <v>2705926664.9764242</v>
      </c>
      <c r="F14" s="308" t="s">
        <v>181</v>
      </c>
      <c r="G14" s="308"/>
      <c r="H14" s="220">
        <f>SUM(B10:H10)/B14</f>
        <v>0.60761364191823919</v>
      </c>
      <c r="I14" s="32"/>
      <c r="J14" s="32"/>
      <c r="K14" s="32"/>
      <c r="L14" s="32"/>
      <c r="M14" s="32"/>
      <c r="N14" s="32"/>
    </row>
    <row r="15" spans="1:14" ht="15" thickBot="1" x14ac:dyDescent="0.35">
      <c r="A15" s="37"/>
      <c r="B15" s="38">
        <f>B13-B14</f>
        <v>-171652568.42577124</v>
      </c>
      <c r="G15" s="32"/>
      <c r="H15" s="32"/>
      <c r="I15" s="32"/>
      <c r="J15" s="32"/>
      <c r="K15" s="32"/>
      <c r="L15" s="32"/>
      <c r="M15" s="32"/>
      <c r="N15" s="32"/>
    </row>
    <row r="16" spans="1:14" ht="15.6" thickTop="1" thickBot="1" x14ac:dyDescent="0.35"/>
    <row r="17" spans="1:14" ht="15" thickBot="1" x14ac:dyDescent="0.35">
      <c r="A17" s="294" t="s">
        <v>54</v>
      </c>
      <c r="B17" s="295"/>
      <c r="C17" s="295"/>
      <c r="D17" s="295"/>
      <c r="E17" s="295"/>
      <c r="F17" s="295"/>
      <c r="G17" s="300"/>
      <c r="H17" s="300"/>
      <c r="I17" s="300"/>
      <c r="J17" s="300"/>
      <c r="K17" s="300"/>
      <c r="L17" s="300"/>
      <c r="M17" s="300"/>
      <c r="N17" s="296"/>
    </row>
    <row r="18" spans="1:14" ht="15" thickBot="1" x14ac:dyDescent="0.35">
      <c r="A18" s="1" t="s">
        <v>1</v>
      </c>
      <c r="B18" s="142">
        <f t="shared" ref="B18:M18" si="2">+B3</f>
        <v>45501</v>
      </c>
      <c r="C18" s="142">
        <f t="shared" si="2"/>
        <v>45505</v>
      </c>
      <c r="D18" s="142">
        <f t="shared" si="2"/>
        <v>45536</v>
      </c>
      <c r="E18" s="142">
        <f t="shared" si="2"/>
        <v>45566</v>
      </c>
      <c r="F18" s="218">
        <f t="shared" si="2"/>
        <v>45597</v>
      </c>
      <c r="G18" s="142">
        <f t="shared" si="2"/>
        <v>45627</v>
      </c>
      <c r="H18" s="40">
        <f t="shared" si="2"/>
        <v>45658</v>
      </c>
      <c r="I18" s="40">
        <f t="shared" si="2"/>
        <v>45689</v>
      </c>
      <c r="J18" s="40">
        <f t="shared" si="2"/>
        <v>45717</v>
      </c>
      <c r="K18" s="40">
        <f t="shared" si="2"/>
        <v>45748</v>
      </c>
      <c r="L18" s="40">
        <f t="shared" si="2"/>
        <v>45778</v>
      </c>
      <c r="M18" s="210">
        <f t="shared" si="2"/>
        <v>45444</v>
      </c>
      <c r="N18" s="209" t="s">
        <v>2</v>
      </c>
    </row>
    <row r="19" spans="1:14" ht="15" thickBot="1" x14ac:dyDescent="0.35">
      <c r="A19" s="2" t="s">
        <v>9</v>
      </c>
      <c r="B19" s="191">
        <v>512614.61</v>
      </c>
      <c r="C19" s="191">
        <v>512614.61</v>
      </c>
      <c r="D19" s="191">
        <v>571562.80000000005</v>
      </c>
      <c r="E19" s="191">
        <v>419432.71</v>
      </c>
      <c r="F19" s="200">
        <v>433058.77</v>
      </c>
      <c r="G19" s="200">
        <v>410348.51</v>
      </c>
      <c r="H19" s="200">
        <v>437284.76</v>
      </c>
      <c r="I19" s="200">
        <v>432220.6</v>
      </c>
      <c r="J19" s="200">
        <v>381907.3</v>
      </c>
      <c r="K19" s="200">
        <v>434317.87</v>
      </c>
      <c r="L19" s="200">
        <v>427706.07</v>
      </c>
      <c r="M19" s="200">
        <v>493438.52</v>
      </c>
      <c r="N19" s="27">
        <f>SUM(B19:M19)</f>
        <v>5466507.129999999</v>
      </c>
    </row>
    <row r="20" spans="1:14" ht="15" thickBot="1" x14ac:dyDescent="0.35">
      <c r="A20" s="3" t="s">
        <v>10</v>
      </c>
      <c r="B20" s="191">
        <v>2210945.39</v>
      </c>
      <c r="C20" s="191">
        <v>2210945.39</v>
      </c>
      <c r="D20" s="191">
        <v>2865458.93</v>
      </c>
      <c r="E20" s="191">
        <v>1446375.72</v>
      </c>
      <c r="F20" s="200">
        <v>1493752.24</v>
      </c>
      <c r="G20" s="200">
        <v>1358688.37</v>
      </c>
      <c r="H20" s="200">
        <v>1396734.85</v>
      </c>
      <c r="I20" s="200">
        <v>1470241.16</v>
      </c>
      <c r="J20" s="200">
        <v>1285918.92</v>
      </c>
      <c r="K20" s="200">
        <v>1456534.99</v>
      </c>
      <c r="L20" s="200">
        <v>1523020.45</v>
      </c>
      <c r="M20" s="200">
        <v>2256771.2400000002</v>
      </c>
      <c r="N20" s="27">
        <f t="shared" ref="N20:N22" si="3">SUM(B20:M20)</f>
        <v>20975387.649999999</v>
      </c>
    </row>
    <row r="21" spans="1:14" ht="15" thickBot="1" x14ac:dyDescent="0.35">
      <c r="A21" s="3" t="s">
        <v>11</v>
      </c>
      <c r="B21" s="191">
        <v>831567.22</v>
      </c>
      <c r="C21" s="191">
        <v>831567.22</v>
      </c>
      <c r="D21" s="191">
        <v>976963.01</v>
      </c>
      <c r="E21" s="191">
        <v>525094.05000000005</v>
      </c>
      <c r="F21" s="200">
        <v>509659.32</v>
      </c>
      <c r="G21" s="200">
        <v>460432.08</v>
      </c>
      <c r="H21" s="200">
        <v>495671.28</v>
      </c>
      <c r="I21" s="200">
        <v>477483.49</v>
      </c>
      <c r="J21" s="200">
        <v>447796.87</v>
      </c>
      <c r="K21" s="200">
        <v>483211.32</v>
      </c>
      <c r="L21" s="200">
        <v>532554.82999999996</v>
      </c>
      <c r="M21" s="200">
        <v>770999.15</v>
      </c>
      <c r="N21" s="27">
        <f t="shared" si="3"/>
        <v>7342999.8400000008</v>
      </c>
    </row>
    <row r="22" spans="1:14" ht="15" thickBot="1" x14ac:dyDescent="0.35">
      <c r="A22" s="3" t="s">
        <v>12</v>
      </c>
      <c r="B22" s="191">
        <v>150836.26</v>
      </c>
      <c r="C22" s="191">
        <v>167575.67000000001</v>
      </c>
      <c r="D22" s="191">
        <v>130918.16</v>
      </c>
      <c r="E22" s="191">
        <v>105398.82</v>
      </c>
      <c r="F22" s="200">
        <v>105847.58</v>
      </c>
      <c r="G22" s="191">
        <v>96007.4</v>
      </c>
      <c r="H22" s="200">
        <v>110168.43</v>
      </c>
      <c r="I22" s="200">
        <v>107276.44</v>
      </c>
      <c r="J22" s="200">
        <v>96521.79</v>
      </c>
      <c r="K22" s="200">
        <v>112143.24</v>
      </c>
      <c r="L22" s="200">
        <v>122224.61</v>
      </c>
      <c r="M22" s="200">
        <v>165424.54</v>
      </c>
      <c r="N22" s="27">
        <f t="shared" si="3"/>
        <v>1470342.9400000002</v>
      </c>
    </row>
    <row r="23" spans="1:14" ht="15" thickBot="1" x14ac:dyDescent="0.35">
      <c r="A23" s="1" t="s">
        <v>7</v>
      </c>
      <c r="B23" s="155">
        <f t="shared" ref="B23:M23" si="4">SUM(B19:B22)</f>
        <v>3705963.4799999995</v>
      </c>
      <c r="C23" s="155">
        <f t="shared" si="4"/>
        <v>3722702.8899999997</v>
      </c>
      <c r="D23" s="155">
        <f t="shared" si="4"/>
        <v>4544902.9000000004</v>
      </c>
      <c r="E23" s="155">
        <f t="shared" si="4"/>
        <v>2496301.2999999998</v>
      </c>
      <c r="F23" s="155">
        <f t="shared" si="4"/>
        <v>2542317.91</v>
      </c>
      <c r="G23" s="155">
        <f t="shared" si="4"/>
        <v>2325476.36</v>
      </c>
      <c r="H23" s="155">
        <f t="shared" si="4"/>
        <v>2439859.3200000003</v>
      </c>
      <c r="I23" s="155">
        <f t="shared" si="4"/>
        <v>2487221.69</v>
      </c>
      <c r="J23" s="155">
        <f t="shared" si="4"/>
        <v>2212144.88</v>
      </c>
      <c r="K23" s="155">
        <f t="shared" si="4"/>
        <v>2486207.42</v>
      </c>
      <c r="L23" s="155">
        <f t="shared" si="4"/>
        <v>2605505.96</v>
      </c>
      <c r="M23" s="155">
        <f t="shared" si="4"/>
        <v>3686633.45</v>
      </c>
      <c r="N23" s="27">
        <f>SUM(N19:N22)</f>
        <v>35255237.559999995</v>
      </c>
    </row>
    <row r="24" spans="1:14" x14ac:dyDescent="0.3">
      <c r="B24" s="307" t="s">
        <v>13</v>
      </c>
      <c r="C24" s="307"/>
      <c r="D24" s="307"/>
      <c r="E24" s="307"/>
      <c r="F24" s="307"/>
      <c r="G24" s="307"/>
      <c r="H24" s="307" t="s">
        <v>13</v>
      </c>
      <c r="I24" s="307"/>
      <c r="J24" s="307"/>
      <c r="K24" s="307"/>
      <c r="L24" s="307"/>
      <c r="M24" s="307"/>
      <c r="N24" s="60"/>
    </row>
    <row r="25" spans="1:14" ht="15" thickBot="1" x14ac:dyDescent="0.3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thickBot="1" x14ac:dyDescent="0.35">
      <c r="A26" s="33" t="s">
        <v>57</v>
      </c>
      <c r="B26" s="34">
        <v>34916186.449346952</v>
      </c>
    </row>
    <row r="27" spans="1:14" ht="15" thickBot="1" x14ac:dyDescent="0.35">
      <c r="A27" s="35" t="s">
        <v>60</v>
      </c>
      <c r="B27" s="36">
        <f>N23</f>
        <v>35255237.559999995</v>
      </c>
    </row>
    <row r="28" spans="1:14" ht="15" thickBot="1" x14ac:dyDescent="0.35">
      <c r="A28" s="37"/>
      <c r="B28" s="38">
        <f>B26-B27</f>
        <v>-339051.11065304279</v>
      </c>
    </row>
    <row r="29" spans="1:14" ht="15" thickTop="1" x14ac:dyDescent="0.3"/>
    <row r="30" spans="1:14" ht="15" thickBot="1" x14ac:dyDescent="0.35"/>
    <row r="31" spans="1:14" ht="15" thickBot="1" x14ac:dyDescent="0.35">
      <c r="A31" s="33" t="s">
        <v>57</v>
      </c>
      <c r="B31" s="34">
        <f>B26+B13</f>
        <v>2569190283</v>
      </c>
      <c r="D31" s="166"/>
      <c r="E31" s="166"/>
    </row>
    <row r="32" spans="1:14" ht="15" thickBot="1" x14ac:dyDescent="0.35">
      <c r="A32" s="35" t="s">
        <v>60</v>
      </c>
      <c r="B32" s="189">
        <f>B14+B27</f>
        <v>2741181902.5364242</v>
      </c>
    </row>
    <row r="33" spans="1:5" ht="15" thickBot="1" x14ac:dyDescent="0.35">
      <c r="A33" s="216"/>
      <c r="B33" s="217"/>
    </row>
    <row r="34" spans="1:5" ht="29.4" thickBot="1" x14ac:dyDescent="0.35">
      <c r="A34" s="188" t="s">
        <v>179</v>
      </c>
      <c r="B34" s="38">
        <f>B31-B32</f>
        <v>-171991619.53642416</v>
      </c>
      <c r="D34" s="38">
        <v>233000000</v>
      </c>
      <c r="E34" s="166">
        <f>D34+B34</f>
        <v>61008380.46357584</v>
      </c>
    </row>
    <row r="38" spans="1:5" x14ac:dyDescent="0.3">
      <c r="A38" s="312" t="s">
        <v>187</v>
      </c>
      <c r="B38" s="313"/>
      <c r="C38" s="314"/>
    </row>
    <row r="39" spans="1:5" x14ac:dyDescent="0.3">
      <c r="A39" s="310" t="s">
        <v>182</v>
      </c>
      <c r="B39" s="311"/>
      <c r="C39" s="224">
        <v>4140318772.3913798</v>
      </c>
    </row>
    <row r="40" spans="1:5" x14ac:dyDescent="0.3">
      <c r="A40" s="310" t="s">
        <v>183</v>
      </c>
      <c r="B40" s="311"/>
      <c r="C40" s="225">
        <f>B31</f>
        <v>2569190283</v>
      </c>
    </row>
    <row r="41" spans="1:5" ht="15" thickBot="1" x14ac:dyDescent="0.35">
      <c r="A41" s="310" t="s">
        <v>184</v>
      </c>
      <c r="B41" s="311"/>
      <c r="C41" s="226">
        <f>C40/C39</f>
        <v>0.62052958340598452</v>
      </c>
    </row>
    <row r="42" spans="1:5" ht="15" thickTop="1" x14ac:dyDescent="0.3">
      <c r="A42" s="312" t="s">
        <v>188</v>
      </c>
      <c r="B42" s="313"/>
      <c r="C42" s="314"/>
    </row>
    <row r="43" spans="1:5" x14ac:dyDescent="0.3">
      <c r="A43" s="310" t="s">
        <v>185</v>
      </c>
      <c r="B43" s="311"/>
      <c r="C43" s="224">
        <v>4272279042.8613782</v>
      </c>
    </row>
    <row r="44" spans="1:5" x14ac:dyDescent="0.3">
      <c r="A44" s="310" t="s">
        <v>186</v>
      </c>
      <c r="B44" s="311"/>
      <c r="C44" s="225">
        <f>B32</f>
        <v>2741181902.5364242</v>
      </c>
    </row>
    <row r="45" spans="1:5" ht="15" thickBot="1" x14ac:dyDescent="0.35">
      <c r="A45" s="310" t="s">
        <v>184</v>
      </c>
      <c r="B45" s="311"/>
      <c r="C45" s="226">
        <f>C44/C43</f>
        <v>0.64162052034422012</v>
      </c>
    </row>
    <row r="46" spans="1:5" ht="15" thickTop="1" x14ac:dyDescent="0.3">
      <c r="A46" s="221"/>
      <c r="B46" s="222"/>
      <c r="C46" s="223"/>
    </row>
  </sheetData>
  <mergeCells count="16">
    <mergeCell ref="A2:N2"/>
    <mergeCell ref="B11:G11"/>
    <mergeCell ref="H11:M11"/>
    <mergeCell ref="A17:N17"/>
    <mergeCell ref="B24:G24"/>
    <mergeCell ref="H24:M24"/>
    <mergeCell ref="F13:G13"/>
    <mergeCell ref="F14:G14"/>
    <mergeCell ref="A45:B45"/>
    <mergeCell ref="A38:C38"/>
    <mergeCell ref="A42:C42"/>
    <mergeCell ref="A39:B39"/>
    <mergeCell ref="A40:B40"/>
    <mergeCell ref="A41:B41"/>
    <mergeCell ref="A43:B43"/>
    <mergeCell ref="A44:B4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EDC8-1FBE-4E18-BC08-0ED0215B9575}">
  <dimension ref="A1:N37"/>
  <sheetViews>
    <sheetView view="pageBreakPreview" topLeftCell="A11" zoomScale="110" zoomScaleNormal="110" zoomScaleSheetLayoutView="110" workbookViewId="0">
      <selection activeCell="K32" sqref="K32"/>
    </sheetView>
  </sheetViews>
  <sheetFormatPr defaultRowHeight="14.4" x14ac:dyDescent="0.3"/>
  <cols>
    <col min="1" max="1" width="43" customWidth="1"/>
    <col min="2" max="2" width="12.88671875" style="235" customWidth="1"/>
    <col min="3" max="4" width="13.33203125" style="235" customWidth="1"/>
    <col min="5" max="5" width="12.88671875" style="235" customWidth="1"/>
    <col min="6" max="6" width="13.33203125" style="235" customWidth="1"/>
    <col min="7" max="7" width="13.88671875" style="235" customWidth="1"/>
    <col min="8" max="8" width="16.21875" style="235" bestFit="1" customWidth="1"/>
    <col min="9" max="9" width="13" style="235" customWidth="1"/>
    <col min="10" max="10" width="13.6640625" style="235" customWidth="1"/>
    <col min="11" max="11" width="13.77734375" style="235" customWidth="1"/>
    <col min="12" max="12" width="13.21875" style="235" customWidth="1"/>
    <col min="13" max="13" width="13.6640625" style="235" customWidth="1"/>
    <col min="14" max="14" width="15.21875" style="235" bestFit="1" customWidth="1"/>
    <col min="16" max="16" width="9.77734375" bestFit="1" customWidth="1"/>
  </cols>
  <sheetData>
    <row r="1" spans="1:14" ht="15" thickBot="1" x14ac:dyDescent="0.35">
      <c r="A1" s="4" t="s">
        <v>189</v>
      </c>
      <c r="F1" s="248" t="s">
        <v>196</v>
      </c>
      <c r="G1" s="248"/>
      <c r="H1" s="249">
        <v>0.1132</v>
      </c>
    </row>
    <row r="2" spans="1:14" ht="15" thickBot="1" x14ac:dyDescent="0.35">
      <c r="A2" s="294" t="s">
        <v>55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229">
        <v>45866</v>
      </c>
      <c r="C3" s="229">
        <v>45898</v>
      </c>
      <c r="D3" s="229">
        <v>45930</v>
      </c>
      <c r="E3" s="229">
        <v>45931</v>
      </c>
      <c r="F3" s="142">
        <v>45964</v>
      </c>
      <c r="G3" s="142">
        <v>45992</v>
      </c>
      <c r="H3" s="142">
        <v>46023</v>
      </c>
      <c r="I3" s="142">
        <v>46054</v>
      </c>
      <c r="J3" s="40">
        <v>46082</v>
      </c>
      <c r="K3" s="40">
        <v>46113</v>
      </c>
      <c r="L3" s="40">
        <v>46143</v>
      </c>
      <c r="M3" s="40">
        <v>46174</v>
      </c>
      <c r="N3" s="26" t="s">
        <v>2</v>
      </c>
    </row>
    <row r="4" spans="1:14" ht="15" thickBot="1" x14ac:dyDescent="0.35">
      <c r="A4" s="2" t="s">
        <v>3</v>
      </c>
      <c r="B4" s="277">
        <v>280662279.50999999</v>
      </c>
      <c r="C4" s="277">
        <v>297101303.63999999</v>
      </c>
      <c r="D4" s="277">
        <v>188549930.37</v>
      </c>
      <c r="E4" s="277">
        <v>170392363.75</v>
      </c>
      <c r="F4" s="278">
        <v>179148419.59999999</v>
      </c>
      <c r="G4" s="278">
        <v>174660273.59999999</v>
      </c>
      <c r="H4" s="278">
        <v>171387018.62</v>
      </c>
      <c r="I4" s="278">
        <v>162122360.41</v>
      </c>
      <c r="J4" s="279">
        <v>131047932.70681199</v>
      </c>
      <c r="K4" s="279">
        <v>175816180.391588</v>
      </c>
      <c r="L4" s="279">
        <v>183932480.55903599</v>
      </c>
      <c r="M4" s="279">
        <v>238985133.69155398</v>
      </c>
      <c r="N4" s="280">
        <f>SUM(B4:M4)</f>
        <v>2353805676.8489895</v>
      </c>
    </row>
    <row r="5" spans="1:14" ht="15" thickBot="1" x14ac:dyDescent="0.35">
      <c r="A5" s="3" t="s">
        <v>4</v>
      </c>
      <c r="B5" s="277">
        <v>39876228.130000003</v>
      </c>
      <c r="C5" s="277">
        <v>41632378.32</v>
      </c>
      <c r="D5" s="277">
        <v>34175795.479999997</v>
      </c>
      <c r="E5" s="277">
        <v>24865906.280000001</v>
      </c>
      <c r="F5" s="278">
        <v>27216579.100000001</v>
      </c>
      <c r="G5" s="278">
        <v>38406431.659999996</v>
      </c>
      <c r="H5" s="278">
        <v>26329075.530000001</v>
      </c>
      <c r="I5" s="278">
        <v>24595609.559999999</v>
      </c>
      <c r="J5" s="279">
        <v>26689645.712400001</v>
      </c>
      <c r="K5" s="279">
        <v>27827053.882803999</v>
      </c>
      <c r="L5" s="279">
        <v>26880497.406972002</v>
      </c>
      <c r="M5" s="279">
        <v>37589518.721435994</v>
      </c>
      <c r="N5" s="281">
        <f t="shared" ref="N5:N9" si="0">SUM(B5:M5)</f>
        <v>376084719.78361201</v>
      </c>
    </row>
    <row r="6" spans="1:14" ht="15" thickBot="1" x14ac:dyDescent="0.35">
      <c r="A6" s="3" t="s">
        <v>5</v>
      </c>
      <c r="B6" s="277">
        <v>2032265.83</v>
      </c>
      <c r="C6" s="277">
        <v>1743644.93</v>
      </c>
      <c r="D6" s="277">
        <v>39351428</v>
      </c>
      <c r="E6" s="277">
        <v>548784.87</v>
      </c>
      <c r="F6" s="278">
        <v>2387496.7400000002</v>
      </c>
      <c r="G6" s="278">
        <v>2297152</v>
      </c>
      <c r="H6" s="278">
        <v>1192504.6599999999</v>
      </c>
      <c r="I6" s="278">
        <v>1088771.6000000001</v>
      </c>
      <c r="J6" s="279">
        <v>1524758.8342799998</v>
      </c>
      <c r="K6" s="279">
        <v>1768855.7531479998</v>
      </c>
      <c r="L6" s="279">
        <v>1871311.2413600001</v>
      </c>
      <c r="M6" s="279">
        <v>3772747.3222560002</v>
      </c>
      <c r="N6" s="281">
        <f t="shared" si="0"/>
        <v>59579721.781043991</v>
      </c>
    </row>
    <row r="7" spans="1:14" ht="15" thickBot="1" x14ac:dyDescent="0.35">
      <c r="A7" s="3" t="s">
        <v>6</v>
      </c>
      <c r="B7" s="277">
        <v>2655501.75</v>
      </c>
      <c r="C7" s="277">
        <v>2693892.46</v>
      </c>
      <c r="D7" s="277">
        <v>2277323.56</v>
      </c>
      <c r="E7" s="277">
        <v>1923401.1</v>
      </c>
      <c r="F7" s="278">
        <v>2070514.29</v>
      </c>
      <c r="G7" s="278">
        <v>3219943.4</v>
      </c>
      <c r="H7" s="278">
        <v>2224370.17</v>
      </c>
      <c r="I7" s="278">
        <v>2001835.51</v>
      </c>
      <c r="J7" s="279">
        <v>1876425.67178</v>
      </c>
      <c r="K7" s="279">
        <v>2032974.4979719999</v>
      </c>
      <c r="L7" s="279">
        <v>2201452.3419679999</v>
      </c>
      <c r="M7" s="279">
        <v>2937329.2723719999</v>
      </c>
      <c r="N7" s="280">
        <f t="shared" si="0"/>
        <v>28114964.024092004</v>
      </c>
    </row>
    <row r="8" spans="1:14" ht="15" thickBot="1" x14ac:dyDescent="0.35">
      <c r="A8" s="3" t="s">
        <v>63</v>
      </c>
      <c r="B8" s="277">
        <v>384766.05</v>
      </c>
      <c r="C8" s="277">
        <v>447306.12</v>
      </c>
      <c r="D8" s="277">
        <v>498988.67</v>
      </c>
      <c r="E8" s="277">
        <v>516157.49</v>
      </c>
      <c r="F8" s="278">
        <v>567773.24</v>
      </c>
      <c r="G8" s="279">
        <v>574547.50020799995</v>
      </c>
      <c r="H8" s="278">
        <v>584938.77</v>
      </c>
      <c r="I8" s="278">
        <v>498918.36</v>
      </c>
      <c r="J8" s="279">
        <v>536244.33649600006</v>
      </c>
      <c r="K8" s="279">
        <v>638705.30165199994</v>
      </c>
      <c r="L8" s="279">
        <v>736128.14624799998</v>
      </c>
      <c r="M8" s="279">
        <v>736128.14624799998</v>
      </c>
      <c r="N8" s="282">
        <f t="shared" si="0"/>
        <v>6720602.1308519999</v>
      </c>
    </row>
    <row r="9" spans="1:14" ht="15" thickBot="1" x14ac:dyDescent="0.35">
      <c r="A9" s="4" t="s">
        <v>167</v>
      </c>
      <c r="B9" s="277">
        <v>13175.8</v>
      </c>
      <c r="C9" s="277">
        <v>8097.38</v>
      </c>
      <c r="D9" s="277">
        <v>8097.38</v>
      </c>
      <c r="E9" s="277">
        <v>7836.29</v>
      </c>
      <c r="F9" s="278">
        <v>8097.38</v>
      </c>
      <c r="G9" s="277">
        <v>8971.43</v>
      </c>
      <c r="H9" s="278">
        <v>8062.33</v>
      </c>
      <c r="I9" s="278">
        <v>8062.33</v>
      </c>
      <c r="J9" s="279">
        <v>9322.9832080000015</v>
      </c>
      <c r="K9" s="279">
        <v>10321.234176</v>
      </c>
      <c r="L9" s="279">
        <v>9986.9958760000009</v>
      </c>
      <c r="M9" s="279">
        <v>9547.0503303999994</v>
      </c>
      <c r="N9" s="282">
        <f t="shared" si="0"/>
        <v>109578.5835904</v>
      </c>
    </row>
    <row r="10" spans="1:14" ht="15" thickBot="1" x14ac:dyDescent="0.35">
      <c r="A10" s="1" t="s">
        <v>7</v>
      </c>
      <c r="B10" s="283">
        <f>SUM(B4:B9)</f>
        <v>325624217.06999999</v>
      </c>
      <c r="C10" s="283">
        <f t="shared" ref="C10:K10" si="1">SUM(C4:C9)</f>
        <v>343626622.84999996</v>
      </c>
      <c r="D10" s="283">
        <f t="shared" si="1"/>
        <v>264861563.45999998</v>
      </c>
      <c r="E10" s="283">
        <f t="shared" si="1"/>
        <v>198254449.78</v>
      </c>
      <c r="F10" s="284">
        <f t="shared" si="1"/>
        <v>211398880.34999999</v>
      </c>
      <c r="G10" s="284">
        <f t="shared" si="1"/>
        <v>219167319.59020799</v>
      </c>
      <c r="H10" s="284">
        <f t="shared" si="1"/>
        <v>201725970.08000001</v>
      </c>
      <c r="I10" s="284">
        <f t="shared" si="1"/>
        <v>190315557.77000001</v>
      </c>
      <c r="J10" s="285">
        <f t="shared" si="1"/>
        <v>161684330.24497598</v>
      </c>
      <c r="K10" s="285">
        <f t="shared" si="1"/>
        <v>208094091.06134003</v>
      </c>
      <c r="L10" s="285">
        <f>SUM(L4:L9)</f>
        <v>215631856.69146001</v>
      </c>
      <c r="M10" s="285">
        <f>SUM(M4:M9)</f>
        <v>284030404.20419639</v>
      </c>
      <c r="N10" s="285">
        <f>SUM(N4:N9)</f>
        <v>2824415263.1521807</v>
      </c>
    </row>
    <row r="11" spans="1:14" x14ac:dyDescent="0.3">
      <c r="B11" s="238" t="s">
        <v>199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x14ac:dyDescent="0.3">
      <c r="N12" s="240"/>
    </row>
    <row r="13" spans="1:14" ht="15" hidden="1" thickBot="1" x14ac:dyDescent="0.35">
      <c r="A13" s="55" t="s">
        <v>194</v>
      </c>
      <c r="B13" s="266">
        <f>N10</f>
        <v>2824415263.1521807</v>
      </c>
      <c r="C13" s="267">
        <f>B10+C10+D10+E10+F10</f>
        <v>1343765733.5099998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58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2824415263.1521807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56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229">
        <f t="shared" ref="B18:M18" si="2">+B3</f>
        <v>45866</v>
      </c>
      <c r="C18" s="229">
        <f t="shared" si="2"/>
        <v>45898</v>
      </c>
      <c r="D18" s="229">
        <f t="shared" si="2"/>
        <v>45930</v>
      </c>
      <c r="E18" s="229">
        <f t="shared" si="2"/>
        <v>45931</v>
      </c>
      <c r="F18" s="142">
        <f t="shared" si="2"/>
        <v>45964</v>
      </c>
      <c r="G18" s="142">
        <f t="shared" si="2"/>
        <v>45992</v>
      </c>
      <c r="H18" s="142">
        <f t="shared" si="2"/>
        <v>46023</v>
      </c>
      <c r="I18" s="142">
        <f t="shared" si="2"/>
        <v>46054</v>
      </c>
      <c r="J18" s="40">
        <f t="shared" si="2"/>
        <v>46082</v>
      </c>
      <c r="K18" s="40">
        <f t="shared" si="2"/>
        <v>46113</v>
      </c>
      <c r="L18" s="40">
        <f t="shared" si="2"/>
        <v>46143</v>
      </c>
      <c r="M18" s="40">
        <f t="shared" si="2"/>
        <v>46174</v>
      </c>
      <c r="N18" s="26" t="s">
        <v>2</v>
      </c>
    </row>
    <row r="19" spans="1:14" ht="15" thickBot="1" x14ac:dyDescent="0.35">
      <c r="A19" s="2" t="s">
        <v>9</v>
      </c>
      <c r="B19" s="277">
        <v>435647.97</v>
      </c>
      <c r="C19" s="277">
        <v>345592.33</v>
      </c>
      <c r="D19" s="277">
        <v>301853.88</v>
      </c>
      <c r="E19" s="277">
        <v>240631.8</v>
      </c>
      <c r="F19" s="278">
        <v>247642.72</v>
      </c>
      <c r="G19" s="278">
        <v>336610.36</v>
      </c>
      <c r="H19" s="278">
        <v>232847.99</v>
      </c>
      <c r="I19" s="278">
        <v>221285.41</v>
      </c>
      <c r="J19" s="279">
        <v>425139.20635999995</v>
      </c>
      <c r="K19" s="279">
        <v>483482.65288399998</v>
      </c>
      <c r="L19" s="279">
        <v>476122.39712400001</v>
      </c>
      <c r="M19" s="279">
        <v>549295.76046400005</v>
      </c>
      <c r="N19" s="286">
        <f t="shared" ref="N19:N22" si="3">SUM(B19:M19)</f>
        <v>4296152.4768320005</v>
      </c>
    </row>
    <row r="20" spans="1:14" ht="15" thickBot="1" x14ac:dyDescent="0.35">
      <c r="A20" s="3" t="s">
        <v>10</v>
      </c>
      <c r="B20" s="277">
        <v>2591106.81</v>
      </c>
      <c r="C20" s="277">
        <v>2693777.48</v>
      </c>
      <c r="D20" s="277">
        <v>2078675.85</v>
      </c>
      <c r="E20" s="277">
        <v>1619184.73</v>
      </c>
      <c r="F20" s="278">
        <v>1621223.12</v>
      </c>
      <c r="G20" s="278">
        <v>2322802.15</v>
      </c>
      <c r="H20" s="278">
        <v>1547775.71</v>
      </c>
      <c r="I20" s="278">
        <v>1462530.46</v>
      </c>
      <c r="J20" s="279">
        <v>1431484.941744</v>
      </c>
      <c r="K20" s="279">
        <v>1621414.7508680001</v>
      </c>
      <c r="L20" s="279">
        <v>1695426.36494</v>
      </c>
      <c r="M20" s="279">
        <v>2512237.7443680004</v>
      </c>
      <c r="N20" s="286">
        <f t="shared" si="3"/>
        <v>23197640.111920003</v>
      </c>
    </row>
    <row r="21" spans="1:14" ht="15" thickBot="1" x14ac:dyDescent="0.35">
      <c r="A21" s="3" t="s">
        <v>11</v>
      </c>
      <c r="B21" s="277">
        <v>936380.55</v>
      </c>
      <c r="C21" s="277">
        <v>931708.92</v>
      </c>
      <c r="D21" s="277">
        <v>708167.2</v>
      </c>
      <c r="E21" s="277">
        <v>570717.76</v>
      </c>
      <c r="F21" s="278">
        <v>553670</v>
      </c>
      <c r="G21" s="278">
        <v>840028.7</v>
      </c>
      <c r="H21" s="278">
        <v>567370.01</v>
      </c>
      <c r="I21" s="278">
        <v>530626.25</v>
      </c>
      <c r="J21" s="279">
        <v>498487.475684</v>
      </c>
      <c r="K21" s="279">
        <v>537910.84142399998</v>
      </c>
      <c r="L21" s="279">
        <v>592840.0367559999</v>
      </c>
      <c r="M21" s="279">
        <v>858276.25378000003</v>
      </c>
      <c r="N21" s="286">
        <f t="shared" si="3"/>
        <v>8126183.9976439998</v>
      </c>
    </row>
    <row r="22" spans="1:14" ht="15" thickBot="1" x14ac:dyDescent="0.35">
      <c r="A22" s="3" t="s">
        <v>12</v>
      </c>
      <c r="B22" s="277">
        <v>165721.38</v>
      </c>
      <c r="C22" s="277">
        <v>166895.57</v>
      </c>
      <c r="D22" s="277">
        <v>119815.27</v>
      </c>
      <c r="E22" s="277">
        <v>163367.88</v>
      </c>
      <c r="F22" s="278">
        <v>169793.29</v>
      </c>
      <c r="G22" s="278">
        <v>264705.59999999998</v>
      </c>
      <c r="H22" s="278">
        <v>163547.20000000001</v>
      </c>
      <c r="I22" s="278">
        <v>151828.47</v>
      </c>
      <c r="J22" s="279">
        <v>107448.05662799999</v>
      </c>
      <c r="K22" s="279">
        <v>124837.854768</v>
      </c>
      <c r="L22" s="279">
        <v>136060.435852</v>
      </c>
      <c r="M22" s="279">
        <v>184150.597928</v>
      </c>
      <c r="N22" s="286">
        <f t="shared" si="3"/>
        <v>1918171.6051760002</v>
      </c>
    </row>
    <row r="23" spans="1:14" ht="15" thickBot="1" x14ac:dyDescent="0.35">
      <c r="A23" s="1" t="s">
        <v>7</v>
      </c>
      <c r="B23" s="283">
        <f>SUM(B19:B22)</f>
        <v>4128856.71</v>
      </c>
      <c r="C23" s="283">
        <f t="shared" ref="C23:M23" si="4">SUM(C19:C22)</f>
        <v>4137974.3</v>
      </c>
      <c r="D23" s="283">
        <f t="shared" si="4"/>
        <v>3208512.1999999997</v>
      </c>
      <c r="E23" s="283">
        <f t="shared" si="4"/>
        <v>2593902.17</v>
      </c>
      <c r="F23" s="284">
        <f t="shared" si="4"/>
        <v>2592329.13</v>
      </c>
      <c r="G23" s="284">
        <f t="shared" si="4"/>
        <v>3764146.81</v>
      </c>
      <c r="H23" s="284">
        <f t="shared" si="4"/>
        <v>2511540.91</v>
      </c>
      <c r="I23" s="284">
        <f t="shared" si="4"/>
        <v>2366270.5900000003</v>
      </c>
      <c r="J23" s="285">
        <f t="shared" si="4"/>
        <v>2462559.6804160001</v>
      </c>
      <c r="K23" s="285">
        <f t="shared" si="4"/>
        <v>2767646.0999440001</v>
      </c>
      <c r="L23" s="285">
        <f t="shared" si="4"/>
        <v>2900449.2346720002</v>
      </c>
      <c r="M23" s="285">
        <f t="shared" si="4"/>
        <v>4103960.3565400005</v>
      </c>
      <c r="N23" s="285">
        <f>SUM(N19:N22)</f>
        <v>37538148.191572003</v>
      </c>
    </row>
    <row r="24" spans="1:14" x14ac:dyDescent="0.3">
      <c r="B24" s="238" t="str">
        <f>B11</f>
        <v>Projections with ESKOM Increase - 11,32%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x14ac:dyDescent="0.3">
      <c r="B25" s="287">
        <f>B23+B10</f>
        <v>329753073.77999997</v>
      </c>
      <c r="C25" s="287">
        <f t="shared" ref="C25:M25" si="5">C23+C10</f>
        <v>347764597.14999998</v>
      </c>
      <c r="D25" s="287">
        <f t="shared" si="5"/>
        <v>268070075.65999997</v>
      </c>
      <c r="E25" s="287">
        <f t="shared" si="5"/>
        <v>200848351.94999999</v>
      </c>
      <c r="F25" s="287">
        <f t="shared" si="5"/>
        <v>213991209.47999999</v>
      </c>
      <c r="G25" s="287">
        <f t="shared" si="5"/>
        <v>222931466.400208</v>
      </c>
      <c r="H25" s="287">
        <f t="shared" si="5"/>
        <v>204237510.99000001</v>
      </c>
      <c r="I25" s="287">
        <f t="shared" si="5"/>
        <v>192681828.36000001</v>
      </c>
      <c r="J25" s="287">
        <f t="shared" si="5"/>
        <v>164146889.92539197</v>
      </c>
      <c r="K25" s="287">
        <f t="shared" si="5"/>
        <v>210861737.16128403</v>
      </c>
      <c r="L25" s="287">
        <f t="shared" si="5"/>
        <v>218532305.92613202</v>
      </c>
      <c r="M25" s="287">
        <f t="shared" si="5"/>
        <v>288134364.56073642</v>
      </c>
      <c r="N25" s="287">
        <f>N23+N10</f>
        <v>2861953411.3437529</v>
      </c>
    </row>
    <row r="26" spans="1:14" x14ac:dyDescent="0.3">
      <c r="B26" s="287">
        <f>B25-'MMM 20252026 Projections '!B25</f>
        <v>-58627587.257072091</v>
      </c>
      <c r="C26" s="287">
        <f>C25-'MMM 20252026 Projections '!C25</f>
        <v>-34669106.275135934</v>
      </c>
      <c r="D26" s="287">
        <f>D25-'MMM 20252026 Projections '!D25</f>
        <v>17555440.236199975</v>
      </c>
      <c r="E26" s="287">
        <f>E25-'MMM 20252026 Projections '!E25</f>
        <v>-3800925.7257879972</v>
      </c>
      <c r="F26" s="287">
        <f>F25-'MMM 20252026 Projections '!F25</f>
        <v>4179575.2076279521</v>
      </c>
      <c r="G26" s="287">
        <f>G25-'MMM 20252026 Projections '!G25</f>
        <v>28735688.916148007</v>
      </c>
      <c r="H26" s="287">
        <f>H25-'MMM 20252026 Projections '!H25</f>
        <v>3076792.8882719874</v>
      </c>
      <c r="I26" s="287">
        <f>I25-'MMM 20252026 Projections '!I25</f>
        <v>-26749816.646499187</v>
      </c>
      <c r="J26" s="287">
        <f>J25-'MMM 20252026 Projections '!J25</f>
        <v>0</v>
      </c>
      <c r="K26" s="287">
        <f>K25-'MMM 20252026 Projections '!K25</f>
        <v>0</v>
      </c>
      <c r="L26" s="287">
        <f>L25-'MMM 20252026 Projections '!L25</f>
        <v>0</v>
      </c>
      <c r="M26" s="287">
        <f>M25-'MMM 20252026 Projections '!M25</f>
        <v>0</v>
      </c>
      <c r="N26" s="287">
        <f>N25-'MMM 20252026 Projections '!N25</f>
        <v>-70299938.656247139</v>
      </c>
    </row>
    <row r="27" spans="1:14" x14ac:dyDescent="0.3">
      <c r="A27" s="4" t="s">
        <v>212</v>
      </c>
      <c r="B27" s="276">
        <f>('MMM 20252026 Projections '!B25-'MMM 20252026 Actual'!B25)/'MMM 20252026 Actual'!B25</f>
        <v>0.17779239048484632</v>
      </c>
      <c r="C27" s="276">
        <f>('MMM 20252026 Projections '!C25-'MMM 20252026 Actual'!C25)/'MMM 20252026 Actual'!C25</f>
        <v>9.9691304288176991E-2</v>
      </c>
      <c r="D27" s="276">
        <f>('MMM 20252026 Projections '!D25-'MMM 20252026 Actual'!D25)/'MMM 20252026 Actual'!D25</f>
        <v>-6.5488250387432209E-2</v>
      </c>
      <c r="E27" s="276">
        <f>('MMM 20252026 Projections '!E25-'MMM 20252026 Actual'!E25)/'MMM 20252026 Actual'!E25</f>
        <v>1.8924356057122216E-2</v>
      </c>
      <c r="F27" s="276">
        <f>('MMM 20252026 Projections '!F25-'MMM 20252026 Actual'!F25)/'MMM 20252026 Actual'!F25</f>
        <v>-1.9531527569680768E-2</v>
      </c>
      <c r="G27" s="276">
        <f>('MMM 20252026 Projections '!G25-'MMM 20252026 Actual'!G25)/'MMM 20252026 Actual'!G25</f>
        <v>-0.12889920557271853</v>
      </c>
      <c r="H27" s="276">
        <f>('MMM 20252026 Projections '!H25-'MMM 20252026 Actual'!H25)/'MMM 20252026 Actual'!H25</f>
        <v>-1.5064778616610907E-2</v>
      </c>
      <c r="I27" s="276">
        <f>('MMM 20252026 Projections '!I25-'MMM 20252026 Actual'!I25)/'MMM 20252026 Actual'!I25</f>
        <v>0.13882895379485793</v>
      </c>
      <c r="J27" s="276">
        <f>('MMM 20252026 Projections '!J25-'MMM 20252026 Actual'!J25)/'MMM 20252026 Actual'!J25</f>
        <v>0</v>
      </c>
      <c r="K27" s="276">
        <f>('MMM 20252026 Projections '!K25-'MMM 20252026 Actual'!K25)/'MMM 20252026 Actual'!K25</f>
        <v>0</v>
      </c>
      <c r="L27" s="276">
        <f>('MMM 20252026 Projections '!L25-'MMM 20252026 Actual'!L25)/'MMM 20252026 Actual'!L25</f>
        <v>0</v>
      </c>
      <c r="M27" s="276">
        <f>('MMM 20252026 Projections '!M25-'MMM 20252026 Actual'!M25)/'MMM 20252026 Actual'!M25</f>
        <v>0</v>
      </c>
      <c r="N27" s="276">
        <f>('MMM 20252026 Projections '!N25-'MMM 20252026 Actual'!N25)/'MMM 20252026 Actual'!N25</f>
        <v>2.4563620909272488E-2</v>
      </c>
    </row>
    <row r="28" spans="1:14" ht="15" thickBot="1" x14ac:dyDescent="0.35">
      <c r="A28" s="4" t="str">
        <f>"Percentage Error for the "&amp; B33&amp; " Months:"</f>
        <v>Percentage Error for the 8 Months:</v>
      </c>
      <c r="B28" s="275">
        <f>AVERAGEIF(B27:M27,"&lt;&gt;0",B27:M27)</f>
        <v>2.5781655309820132E-2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</row>
    <row r="29" spans="1:14" ht="15" hidden="1" thickBot="1" x14ac:dyDescent="0.35">
      <c r="A29" s="55" t="s">
        <v>194</v>
      </c>
      <c r="B29" s="274">
        <f>N23</f>
        <v>37538148.191572003</v>
      </c>
      <c r="C29" s="267">
        <f>B23+C23+D23+E23+F23</f>
        <v>16661574.509999998</v>
      </c>
      <c r="N29" s="240"/>
    </row>
    <row r="30" spans="1:14" ht="15" hidden="1" thickBot="1" x14ac:dyDescent="0.35">
      <c r="A30" s="54" t="s">
        <v>58</v>
      </c>
      <c r="B30" s="245"/>
      <c r="N30" s="240"/>
    </row>
    <row r="31" spans="1:14" ht="15" hidden="1" thickBot="1" x14ac:dyDescent="0.35">
      <c r="A31" s="37"/>
      <c r="B31" s="243">
        <f>B29-B30</f>
        <v>37538148.191572003</v>
      </c>
    </row>
    <row r="32" spans="1:14" ht="15" thickTop="1" x14ac:dyDescent="0.3">
      <c r="D32" s="264"/>
      <c r="E32" s="268"/>
    </row>
    <row r="33" spans="1:7" x14ac:dyDescent="0.3">
      <c r="A33" s="288" t="s">
        <v>213</v>
      </c>
      <c r="B33" s="288">
        <f>COUNTIF(B27:M27,"&lt;&gt;0")</f>
        <v>8</v>
      </c>
      <c r="D33" s="264"/>
      <c r="E33" s="268"/>
    </row>
    <row r="34" spans="1:7" ht="15" hidden="1" thickBot="1" x14ac:dyDescent="0.35">
      <c r="A34" s="55" t="str">
        <f>"Total "&amp;A13</f>
        <v>Total Projected Budged 2025/2026</v>
      </c>
      <c r="B34" s="266">
        <f>B29+B13</f>
        <v>2861953411.3437529</v>
      </c>
      <c r="C34" s="267">
        <f>C13+C29</f>
        <v>1360427308.0199997</v>
      </c>
      <c r="D34" s="265"/>
      <c r="E34" s="269"/>
      <c r="F34" s="250"/>
      <c r="G34" s="250"/>
    </row>
    <row r="35" spans="1:7" ht="15" hidden="1" thickBot="1" x14ac:dyDescent="0.35">
      <c r="A35" s="54" t="str">
        <f>"Total "&amp;A30</f>
        <v xml:space="preserve">Total Mid Year Review 2025/2026 Projection </v>
      </c>
      <c r="B35" s="247">
        <f>B14+B30</f>
        <v>0</v>
      </c>
    </row>
    <row r="36" spans="1:7" ht="15" hidden="1" thickBot="1" x14ac:dyDescent="0.35">
      <c r="A36" s="216"/>
      <c r="B36" s="244"/>
    </row>
    <row r="37" spans="1:7" ht="29.4" hidden="1" thickBot="1" x14ac:dyDescent="0.35">
      <c r="A37" s="188" t="s">
        <v>59</v>
      </c>
      <c r="B37" s="243">
        <f>B34-B35</f>
        <v>2861953411.3437529</v>
      </c>
    </row>
  </sheetData>
  <mergeCells count="2">
    <mergeCell ref="A2:N2"/>
    <mergeCell ref="A17:N17"/>
  </mergeCells>
  <conditionalFormatting sqref="B26:N26">
    <cfRule type="cellIs" dxfId="0" priority="1" operator="lessThan">
      <formula>0</formula>
    </cfRule>
  </conditionalFormatting>
  <pageMargins left="0.7" right="0.7" top="0.75" bottom="0.75" header="0.3" footer="0.3"/>
  <pageSetup paperSize="9" scale="48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16BB-264A-4D06-A1E3-0C96E973A45E}">
  <dimension ref="A1:N38"/>
  <sheetViews>
    <sheetView topLeftCell="B1" workbookViewId="0">
      <selection activeCell="H25" sqref="H25"/>
    </sheetView>
  </sheetViews>
  <sheetFormatPr defaultRowHeight="14.4" x14ac:dyDescent="0.3"/>
  <cols>
    <col min="1" max="1" width="43" customWidth="1"/>
    <col min="2" max="2" width="17.21875" style="235" bestFit="1" customWidth="1"/>
    <col min="3" max="3" width="16.77734375" style="235" bestFit="1" customWidth="1"/>
    <col min="4" max="4" width="17.77734375" style="235" bestFit="1" customWidth="1"/>
    <col min="5" max="5" width="16.21875" style="235" bestFit="1" customWidth="1"/>
    <col min="6" max="13" width="16.77734375" style="235" bestFit="1" customWidth="1"/>
    <col min="14" max="14" width="17.21875" style="235" bestFit="1" customWidth="1"/>
    <col min="16" max="16" width="9.77734375" bestFit="1" customWidth="1"/>
  </cols>
  <sheetData>
    <row r="1" spans="1:14" ht="15" thickBot="1" x14ac:dyDescent="0.35">
      <c r="A1" s="4" t="s">
        <v>189</v>
      </c>
      <c r="F1" s="248" t="s">
        <v>196</v>
      </c>
      <c r="G1" s="248"/>
      <c r="H1" s="249">
        <v>0.1132</v>
      </c>
    </row>
    <row r="2" spans="1:14" ht="15" thickBot="1" x14ac:dyDescent="0.35">
      <c r="A2" s="294" t="s">
        <v>55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45866</v>
      </c>
      <c r="C3" s="142">
        <v>45898</v>
      </c>
      <c r="D3" s="142">
        <v>45930</v>
      </c>
      <c r="E3" s="142">
        <v>45931</v>
      </c>
      <c r="F3" s="142">
        <v>45964</v>
      </c>
      <c r="G3" s="142">
        <v>45992</v>
      </c>
      <c r="H3" s="142">
        <v>46023</v>
      </c>
      <c r="I3" s="142">
        <v>46054</v>
      </c>
      <c r="J3" s="142">
        <v>46082</v>
      </c>
      <c r="K3" s="142">
        <v>46113</v>
      </c>
      <c r="L3" s="142">
        <v>46143</v>
      </c>
      <c r="M3" s="142">
        <v>46174</v>
      </c>
      <c r="N3" s="236" t="s">
        <v>2</v>
      </c>
    </row>
    <row r="4" spans="1:14" ht="15" thickBot="1" x14ac:dyDescent="0.35">
      <c r="A4" s="2" t="s">
        <v>3</v>
      </c>
      <c r="B4" s="191">
        <f>('[1]20242025BudgetAdj R81 mil'!B4*$H$1)+'[1]20242025BudgetAdj R81 mil'!B4</f>
        <v>339999783.66411203</v>
      </c>
      <c r="C4" s="191">
        <f>('[1]20242025BudgetAdj R81 mil'!C4*$H$1)+'[1]20242025BudgetAdj R81 mil'!C4</f>
        <v>326636618.93434</v>
      </c>
      <c r="D4" s="191">
        <f>('[1]20242025BudgetAdj R81 mil'!D4*$H$1)+'[1]20242025BudgetAdj R81 mil'!D4</f>
        <v>205274779.95789599</v>
      </c>
      <c r="E4" s="191">
        <f>('[1]20242025BudgetAdj R81 mil'!E4*$H$1)+'[1]20242025BudgetAdj R81 mil'!E4</f>
        <v>172428719.02550799</v>
      </c>
      <c r="F4" s="191">
        <f>('[1]20242025BudgetAdj R81 mil'!F4*$H$1)+'[1]20242025BudgetAdj R81 mil'!F4</f>
        <v>177094932.790512</v>
      </c>
      <c r="G4" s="191">
        <f>('[1]20242025BudgetAdj R81 mil'!G4*$H$1)+'[1]20242025BudgetAdj R81 mil'!G4</f>
        <v>162017200.31085601</v>
      </c>
      <c r="H4" s="191">
        <f>('[1]20242025BudgetAdj R81 mil'!H4*$H$1)+'[1]20242025BudgetAdj R81 mil'!H4</f>
        <v>168332130.78030801</v>
      </c>
      <c r="I4" s="191">
        <f>('[1]20242025BudgetAdj R81 mil'!I4*$H$1)+'[1]20242025BudgetAdj R81 mil'!I4</f>
        <v>183608875.62336001</v>
      </c>
      <c r="J4" s="191">
        <f>('[1]20242025BudgetAdj R81 mil'!J4*$H$1)+'[1]20242025BudgetAdj R81 mil'!J4</f>
        <v>131047932.70681199</v>
      </c>
      <c r="K4" s="191">
        <f>('[1]20242025BudgetAdj R81 mil'!K4*$H$1)+'[1]20242025BudgetAdj R81 mil'!K4-K27</f>
        <v>175816180.391588</v>
      </c>
      <c r="L4" s="191">
        <f>('[1]20242025BudgetAdj R81 mil'!L4*$H$1)+'[1]20242025BudgetAdj R81 mil'!L4-L27</f>
        <v>183932480.55903599</v>
      </c>
      <c r="M4" s="191">
        <f>('[1]20242025BudgetAdj R81 mil'!M4*$H$1)+'[1]20242025BudgetAdj R81 mil'!M4-M27</f>
        <v>238985133.69155398</v>
      </c>
      <c r="N4" s="237">
        <f>SUM(B4:M4)</f>
        <v>2465174768.4358821</v>
      </c>
    </row>
    <row r="5" spans="1:14" ht="15" thickBot="1" x14ac:dyDescent="0.35">
      <c r="A5" s="3" t="s">
        <v>4</v>
      </c>
      <c r="B5" s="191">
        <f>('[1]20242025BudgetAdj R81 mil'!B5*$H$1)+'[1]20242025BudgetAdj R81 mil'!B5</f>
        <v>40600025.642967999</v>
      </c>
      <c r="C5" s="191">
        <f>('[1]20242025BudgetAdj R81 mil'!C5*$H$1)+'[1]20242025BudgetAdj R81 mil'!C5</f>
        <v>47462319.758435994</v>
      </c>
      <c r="D5" s="191">
        <f>('[1]20242025BudgetAdj R81 mil'!D5*$H$1)+'[1]20242025BudgetAdj R81 mil'!D5</f>
        <v>36658157.458999999</v>
      </c>
      <c r="E5" s="191">
        <f>('[1]20242025BudgetAdj R81 mil'!E5*$H$1)+'[1]20242025BudgetAdj R81 mil'!E5</f>
        <v>26618785.478472002</v>
      </c>
      <c r="F5" s="191">
        <f>('[1]20242025BudgetAdj R81 mil'!F5*$H$1)+'[1]20242025BudgetAdj R81 mil'!F5</f>
        <v>26914581.108536001</v>
      </c>
      <c r="G5" s="191">
        <f>('[1]20242025BudgetAdj R81 mil'!G5*$H$1)+'[1]20242025BudgetAdj R81 mil'!G5</f>
        <v>26551496.924479999</v>
      </c>
      <c r="H5" s="191">
        <f>('[1]20242025BudgetAdj R81 mil'!H5*$H$1)+'[1]20242025BudgetAdj R81 mil'!H5</f>
        <v>26011012.186544001</v>
      </c>
      <c r="I5" s="191">
        <f>('[1]20242025BudgetAdj R81 mil'!I5*$H$1)+'[1]20242025BudgetAdj R81 mil'!I5</f>
        <v>28734866.545836002</v>
      </c>
      <c r="J5" s="191">
        <f>('[1]20242025BudgetAdj R81 mil'!J5*$H$1)+'[1]20242025BudgetAdj R81 mil'!J5</f>
        <v>26689645.712400001</v>
      </c>
      <c r="K5" s="191">
        <f>('[1]20242025BudgetAdj R81 mil'!K5*$H$1)+'[1]20242025BudgetAdj R81 mil'!K5</f>
        <v>27827053.882803999</v>
      </c>
      <c r="L5" s="191">
        <f>('[1]20242025BudgetAdj R81 mil'!L5*$H$1)+'[1]20242025BudgetAdj R81 mil'!L5</f>
        <v>26880497.406972002</v>
      </c>
      <c r="M5" s="191">
        <f>('[1]20242025BudgetAdj R81 mil'!M5*$H$1)+'[1]20242025BudgetAdj R81 mil'!M5</f>
        <v>37589518.721435994</v>
      </c>
      <c r="N5" s="271">
        <f t="shared" ref="N5:N9" si="0">SUM(B5:M5)</f>
        <v>378537960.82788396</v>
      </c>
    </row>
    <row r="6" spans="1:14" ht="15" thickBot="1" x14ac:dyDescent="0.35">
      <c r="A6" s="3" t="s">
        <v>5</v>
      </c>
      <c r="B6" s="191">
        <f>('[1]20242025BudgetAdj R81 mil'!B6*$H$1)+'[1]20242025BudgetAdj R81 mil'!B6</f>
        <v>250109.178484</v>
      </c>
      <c r="C6" s="191">
        <f>('[1]20242025BudgetAdj R81 mil'!C6*$H$1)+'[1]20242025BudgetAdj R81 mil'!C6</f>
        <v>283725.71453599998</v>
      </c>
      <c r="D6" s="191">
        <f>('[1]20242025BudgetAdj R81 mil'!D6*$H$1)+'[1]20242025BudgetAdj R81 mil'!D6</f>
        <v>283725.71453599998</v>
      </c>
      <c r="E6" s="191">
        <f>('[1]20242025BudgetAdj R81 mil'!E6*$H$1)+'[1]20242025BudgetAdj R81 mil'!E6</f>
        <v>274669.142352</v>
      </c>
      <c r="F6" s="191">
        <f>('[1]20242025BudgetAdj R81 mil'!F6*$H$1)+'[1]20242025BudgetAdj R81 mil'!F6</f>
        <v>283725.71453599998</v>
      </c>
      <c r="G6" s="191">
        <f>('[1]20242025BudgetAdj R81 mil'!G6*$H$1)+'[1]20242025BudgetAdj R81 mil'!G6</f>
        <v>278205.28894400003</v>
      </c>
      <c r="H6" s="191">
        <f>('[1]20242025BudgetAdj R81 mil'!H6*$H$1)+'[1]20242025BudgetAdj R81 mil'!H6</f>
        <v>1261600.3023799998</v>
      </c>
      <c r="I6" s="191">
        <f>('[1]20242025BudgetAdj R81 mil'!I6*$H$1)+'[1]20242025BudgetAdj R81 mil'!I6</f>
        <v>1577278.8421719999</v>
      </c>
      <c r="J6" s="191">
        <f>('[1]20242025BudgetAdj R81 mil'!J6*$H$1)+'[1]20242025BudgetAdj R81 mil'!J6</f>
        <v>1524758.8342799998</v>
      </c>
      <c r="K6" s="191">
        <f>('[1]20242025BudgetAdj R81 mil'!K6*$H$1)+'[1]20242025BudgetAdj R81 mil'!K6</f>
        <v>1768855.7531479998</v>
      </c>
      <c r="L6" s="191">
        <f>('[1]20242025BudgetAdj R81 mil'!L6*$H$1)+'[1]20242025BudgetAdj R81 mil'!L6</f>
        <v>1871311.2413600001</v>
      </c>
      <c r="M6" s="191">
        <f>('[1]20242025BudgetAdj R81 mil'!M6*$H$1)+'[1]20242025BudgetAdj R81 mil'!M6</f>
        <v>3772747.3222560002</v>
      </c>
      <c r="N6" s="271">
        <f t="shared" si="0"/>
        <v>13430713.048984</v>
      </c>
    </row>
    <row r="7" spans="1:14" ht="15" thickBot="1" x14ac:dyDescent="0.35">
      <c r="A7" s="3" t="s">
        <v>6</v>
      </c>
      <c r="B7" s="191">
        <f>('[1]20242025BudgetAdj R81 mil'!B7*$H$1)+'[1]20242025BudgetAdj R81 mil'!B7</f>
        <v>2876114.1149400002</v>
      </c>
      <c r="C7" s="191">
        <f>('[1]20242025BudgetAdj R81 mil'!C7*$H$1)+'[1]20242025BudgetAdj R81 mil'!C7</f>
        <v>3285100.5109999999</v>
      </c>
      <c r="D7" s="191">
        <f>('[1]20242025BudgetAdj R81 mil'!D7*$H$1)+'[1]20242025BudgetAdj R81 mil'!D7</f>
        <v>2655063.8981240001</v>
      </c>
      <c r="E7" s="191">
        <f>('[1]20242025BudgetAdj R81 mil'!E7*$H$1)+'[1]20242025BudgetAdj R81 mil'!E7</f>
        <v>1964989.5817200001</v>
      </c>
      <c r="F7" s="191">
        <f>('[1]20242025BudgetAdj R81 mil'!F7*$H$1)+'[1]20242025BudgetAdj R81 mil'!F7</f>
        <v>2085612.2935560001</v>
      </c>
      <c r="G7" s="191">
        <f>('[1]20242025BudgetAdj R81 mil'!G7*$H$1)+'[1]20242025BudgetAdj R81 mil'!G7</f>
        <v>2176922.835252</v>
      </c>
      <c r="H7" s="191">
        <f>('[1]20242025BudgetAdj R81 mil'!H7*$H$1)+'[1]20242025BudgetAdj R81 mil'!H7</f>
        <v>2198946.1948079998</v>
      </c>
      <c r="I7" s="191">
        <f>('[1]20242025BudgetAdj R81 mil'!I7*$H$1)+'[1]20242025BudgetAdj R81 mil'!I7</f>
        <v>2196431.0863880003</v>
      </c>
      <c r="J7" s="191">
        <f>('[1]20242025BudgetAdj R81 mil'!J7*$H$1)+'[1]20242025BudgetAdj R81 mil'!J7</f>
        <v>1876425.67178</v>
      </c>
      <c r="K7" s="191">
        <f>('[1]20242025BudgetAdj R81 mil'!K7*$H$1)+'[1]20242025BudgetAdj R81 mil'!K7</f>
        <v>2032974.4979719999</v>
      </c>
      <c r="L7" s="191">
        <f>('[1]20242025BudgetAdj R81 mil'!L7*$H$1)+'[1]20242025BudgetAdj R81 mil'!L7</f>
        <v>2201452.3419679999</v>
      </c>
      <c r="M7" s="191">
        <f>('[1]20242025BudgetAdj R81 mil'!M7*$H$1)+'[1]20242025BudgetAdj R81 mil'!M7</f>
        <v>2937329.2723719999</v>
      </c>
      <c r="N7" s="237">
        <f t="shared" si="0"/>
        <v>28487362.299880002</v>
      </c>
    </row>
    <row r="8" spans="1:14" ht="15" thickBot="1" x14ac:dyDescent="0.35">
      <c r="A8" s="3" t="s">
        <v>63</v>
      </c>
      <c r="B8" s="191">
        <f>('[1]20242025BudgetAdj R81 mil'!B8*$H$1)+'[1]20242025BudgetAdj R81 mil'!B8</f>
        <v>520528.95813599997</v>
      </c>
      <c r="C8" s="191">
        <f>('[1]20242025BudgetAdj R81 mil'!C8*$H$1)+'[1]20242025BudgetAdj R81 mil'!C8</f>
        <v>612850.66391999996</v>
      </c>
      <c r="D8" s="191">
        <f>('[1]20242025BudgetAdj R81 mil'!D8*$H$1)+'[1]20242025BudgetAdj R81 mil'!D8</f>
        <v>574547.50020799995</v>
      </c>
      <c r="E8" s="191">
        <f>('[1]20242025BudgetAdj R81 mil'!E8*$H$1)+'[1]20242025BudgetAdj R81 mil'!E8</f>
        <v>574547.50020799995</v>
      </c>
      <c r="F8" s="191">
        <f>('[1]20242025BudgetAdj R81 mil'!F8*$H$1)+'[1]20242025BudgetAdj R81 mil'!F8</f>
        <v>593699.08206399996</v>
      </c>
      <c r="G8" s="191">
        <f>('[1]20242025BudgetAdj R81 mil'!G8*$H$1)+'[1]20242025BudgetAdj R81 mil'!G8</f>
        <v>574547.50020799995</v>
      </c>
      <c r="H8" s="191">
        <f>('[1]20242025BudgetAdj R81 mil'!H8*$H$1)+'[1]20242025BudgetAdj R81 mil'!H8</f>
        <v>632002.25690799998</v>
      </c>
      <c r="I8" s="191">
        <f>('[1]20242025BudgetAdj R81 mil'!I8*$H$1)+'[1]20242025BudgetAdj R81 mil'!I8</f>
        <v>536244.33649600006</v>
      </c>
      <c r="J8" s="191">
        <f>('[1]20242025BudgetAdj R81 mil'!J8*$H$1)+'[1]20242025BudgetAdj R81 mil'!J8</f>
        <v>536244.33649600006</v>
      </c>
      <c r="K8" s="191">
        <f>('[1]20242025BudgetAdj R81 mil'!K8*$H$1)+'[1]20242025BudgetAdj R81 mil'!K8</f>
        <v>638705.30165199994</v>
      </c>
      <c r="L8" s="191">
        <f>('[1]20242025BudgetAdj R81 mil'!L8*$H$1)+'[1]20242025BudgetAdj R81 mil'!L8</f>
        <v>736128.14624799998</v>
      </c>
      <c r="M8" s="191">
        <f>('[1]20242025BudgetAdj R81 mil'!M8*$H$1)+'[1]20242025BudgetAdj R81 mil'!M8</f>
        <v>736128.14624799998</v>
      </c>
      <c r="N8" s="23">
        <f t="shared" si="0"/>
        <v>7266173.7287919996</v>
      </c>
    </row>
    <row r="9" spans="1:14" ht="15" thickBot="1" x14ac:dyDescent="0.35">
      <c r="A9" s="4" t="s">
        <v>167</v>
      </c>
      <c r="B9" s="191">
        <f>('[1]20242025BudgetAdj R81 mil'!B9*$H$1)+'[1]20242025BudgetAdj R81 mil'!B9</f>
        <v>8620.9324959999994</v>
      </c>
      <c r="C9" s="191">
        <f>('[1]20242025BudgetAdj R81 mil'!C9*$H$1)+'[1]20242025BudgetAdj R81 mil'!C9</f>
        <v>8974.985756</v>
      </c>
      <c r="D9" s="191">
        <f>('[1]20242025BudgetAdj R81 mil'!D9*$H$1)+'[1]20242025BudgetAdj R81 mil'!D9</f>
        <v>8974.985756</v>
      </c>
      <c r="E9" s="191">
        <f>('[1]20242025BudgetAdj R81 mil'!E9*$H$1)+'[1]20242025BudgetAdj R81 mil'!E9</f>
        <v>8684.3403679999992</v>
      </c>
      <c r="F9" s="191">
        <f>('[1]20242025BudgetAdj R81 mil'!F9*$H$1)+'[1]20242025BudgetAdj R81 mil'!F9</f>
        <v>8974.985756</v>
      </c>
      <c r="G9" s="191">
        <f>('[1]20242025BudgetAdj R81 mil'!G9*$H$1)+'[1]20242025BudgetAdj R81 mil'!G9</f>
        <v>8684.3403679999992</v>
      </c>
      <c r="H9" s="191">
        <f>('[1]20242025BudgetAdj R81 mil'!H9*$H$1)+'[1]20242025BudgetAdj R81 mil'!H9</f>
        <v>8974.985756</v>
      </c>
      <c r="I9" s="191">
        <f>('[1]20242025BudgetAdj R81 mil'!I9*$H$1)+'[1]20242025BudgetAdj R81 mil'!I9</f>
        <v>9173.3869391999997</v>
      </c>
      <c r="J9" s="191">
        <f>('[1]20242025BudgetAdj R81 mil'!J9*$H$1)+'[1]20242025BudgetAdj R81 mil'!J9</f>
        <v>9322.9832080000015</v>
      </c>
      <c r="K9" s="191">
        <f>('[1]20242025BudgetAdj R81 mil'!K9*$H$1)+'[1]20242025BudgetAdj R81 mil'!K9</f>
        <v>10321.234176</v>
      </c>
      <c r="L9" s="191">
        <f>('[1]20242025BudgetAdj R81 mil'!L9*$H$1)+'[1]20242025BudgetAdj R81 mil'!L9</f>
        <v>9986.9958760000009</v>
      </c>
      <c r="M9" s="191">
        <f>('[1]20242025BudgetAdj R81 mil'!M9*$H$1)+'[1]20242025BudgetAdj R81 mil'!M9</f>
        <v>9547.0503303999994</v>
      </c>
      <c r="N9" s="23">
        <f t="shared" si="0"/>
        <v>110241.20678560001</v>
      </c>
    </row>
    <row r="10" spans="1:14" ht="15" thickBot="1" x14ac:dyDescent="0.35">
      <c r="A10" s="1" t="s">
        <v>7</v>
      </c>
      <c r="B10" s="155">
        <f t="shared" ref="B10:K10" si="1">SUM(B4:B9)</f>
        <v>384255182.49113607</v>
      </c>
      <c r="C10" s="155">
        <f t="shared" si="1"/>
        <v>378289590.56798792</v>
      </c>
      <c r="D10" s="155">
        <f t="shared" si="1"/>
        <v>245455249.51552001</v>
      </c>
      <c r="E10" s="155">
        <f t="shared" si="1"/>
        <v>201870395.06862798</v>
      </c>
      <c r="F10" s="155">
        <f t="shared" si="1"/>
        <v>206981525.97496003</v>
      </c>
      <c r="G10" s="155">
        <f t="shared" si="1"/>
        <v>191607057.20010799</v>
      </c>
      <c r="H10" s="155">
        <f t="shared" si="1"/>
        <v>198444666.70670402</v>
      </c>
      <c r="I10" s="155">
        <f t="shared" si="1"/>
        <v>216662869.82119119</v>
      </c>
      <c r="J10" s="155">
        <f t="shared" si="1"/>
        <v>161684330.24497598</v>
      </c>
      <c r="K10" s="155">
        <f t="shared" si="1"/>
        <v>208094091.06134003</v>
      </c>
      <c r="L10" s="155">
        <f>SUM(L4:L9)</f>
        <v>215631856.69146001</v>
      </c>
      <c r="M10" s="155">
        <f>SUM(M4:M9)</f>
        <v>284030404.20419639</v>
      </c>
      <c r="N10" s="155">
        <f>SUM(N4:N9)</f>
        <v>2893007219.5482082</v>
      </c>
    </row>
    <row r="11" spans="1:14" x14ac:dyDescent="0.3">
      <c r="B11" s="238" t="s">
        <v>199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194</v>
      </c>
      <c r="B13" s="246">
        <f>N10</f>
        <v>2893007219.5482082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58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2893007219.5482082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56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45866</v>
      </c>
      <c r="C18" s="142">
        <f t="shared" si="2"/>
        <v>45898</v>
      </c>
      <c r="D18" s="142">
        <f t="shared" si="2"/>
        <v>45930</v>
      </c>
      <c r="E18" s="142">
        <f t="shared" si="2"/>
        <v>45931</v>
      </c>
      <c r="F18" s="142">
        <f t="shared" si="2"/>
        <v>45964</v>
      </c>
      <c r="G18" s="142">
        <f t="shared" si="2"/>
        <v>45992</v>
      </c>
      <c r="H18" s="142">
        <f t="shared" si="2"/>
        <v>46023</v>
      </c>
      <c r="I18" s="142">
        <f t="shared" si="2"/>
        <v>46054</v>
      </c>
      <c r="J18" s="142">
        <f t="shared" si="2"/>
        <v>46082</v>
      </c>
      <c r="K18" s="142">
        <f t="shared" si="2"/>
        <v>46113</v>
      </c>
      <c r="L18" s="142">
        <f t="shared" si="2"/>
        <v>46143</v>
      </c>
      <c r="M18" s="142">
        <f t="shared" si="2"/>
        <v>46174</v>
      </c>
      <c r="N18" s="236" t="s">
        <v>2</v>
      </c>
    </row>
    <row r="19" spans="1:14" ht="15" thickBot="1" x14ac:dyDescent="0.35">
      <c r="A19" s="2" t="s">
        <v>9</v>
      </c>
      <c r="B19" s="191">
        <f>('[1]20242025BudgetAdj R81 mil'!B19*$H$1)+'[1]20242025BudgetAdj R81 mil'!B19</f>
        <v>570642.58385199995</v>
      </c>
      <c r="C19" s="191">
        <f>('[1]20242025BudgetAdj R81 mil'!C19*$H$1)+'[1]20242025BudgetAdj R81 mil'!C19</f>
        <v>570642.58385199995</v>
      </c>
      <c r="D19" s="191">
        <f>('[1]20242025BudgetAdj R81 mil'!D19*$H$1)+'[1]20242025BudgetAdj R81 mil'!D19</f>
        <v>636263.70896000008</v>
      </c>
      <c r="E19" s="191">
        <f>('[1]20242025BudgetAdj R81 mil'!E19*$H$1)+'[1]20242025BudgetAdj R81 mil'!E19</f>
        <v>466912.49277200003</v>
      </c>
      <c r="F19" s="191">
        <f>('[1]20242025BudgetAdj R81 mil'!F19*$H$1)+'[1]20242025BudgetAdj R81 mil'!F19</f>
        <v>482081.02276399999</v>
      </c>
      <c r="G19" s="191">
        <f>('[1]20242025BudgetAdj R81 mil'!G19*$H$1)+'[1]20242025BudgetAdj R81 mil'!G19</f>
        <v>456799.96133199998</v>
      </c>
      <c r="H19" s="191">
        <f>('[1]20242025BudgetAdj R81 mil'!H19*$H$1)+'[1]20242025BudgetAdj R81 mil'!H19</f>
        <v>486785.39483200002</v>
      </c>
      <c r="I19" s="191">
        <f>('[1]20242025BudgetAdj R81 mil'!I19*$H$1)+'[1]20242025BudgetAdj R81 mil'!I19</f>
        <v>481147.97191999998</v>
      </c>
      <c r="J19" s="191">
        <f>('[1]20242025BudgetAdj R81 mil'!J19*$H$1)+'[1]20242025BudgetAdj R81 mil'!J19</f>
        <v>425139.20635999995</v>
      </c>
      <c r="K19" s="191">
        <f>('[1]20242025BudgetAdj R81 mil'!K19*$H$1)+'[1]20242025BudgetAdj R81 mil'!K19</f>
        <v>483482.65288399998</v>
      </c>
      <c r="L19" s="191">
        <f>('[1]20242025BudgetAdj R81 mil'!L19*$H$1)+'[1]20242025BudgetAdj R81 mil'!L19</f>
        <v>476122.39712400001</v>
      </c>
      <c r="M19" s="191">
        <f>('[1]20242025BudgetAdj R81 mil'!M19*$H$1)+'[1]20242025BudgetAdj R81 mil'!M19</f>
        <v>549295.76046400005</v>
      </c>
      <c r="N19" s="163">
        <f t="shared" ref="N19:N22" si="3">SUM(B19:M19)</f>
        <v>6085315.7371159997</v>
      </c>
    </row>
    <row r="20" spans="1:14" ht="15" thickBot="1" x14ac:dyDescent="0.35">
      <c r="A20" s="3" t="s">
        <v>10</v>
      </c>
      <c r="B20" s="191">
        <f>('[1]20242025BudgetAdj R81 mil'!B20*$H$1)+'[1]20242025BudgetAdj R81 mil'!B20</f>
        <v>2461224.408148</v>
      </c>
      <c r="C20" s="191">
        <f>('[1]20242025BudgetAdj R81 mil'!C20*$H$1)+'[1]20242025BudgetAdj R81 mil'!C20</f>
        <v>2461224.408148</v>
      </c>
      <c r="D20" s="191">
        <f>('[1]20242025BudgetAdj R81 mil'!D20*$H$1)+'[1]20242025BudgetAdj R81 mil'!D20</f>
        <v>3189828.880876</v>
      </c>
      <c r="E20" s="191">
        <f>('[1]20242025BudgetAdj R81 mil'!E20*$H$1)+'[1]20242025BudgetAdj R81 mil'!E20</f>
        <v>1610105.451504</v>
      </c>
      <c r="F20" s="191">
        <f>('[1]20242025BudgetAdj R81 mil'!F20*$H$1)+'[1]20242025BudgetAdj R81 mil'!F20</f>
        <v>1662844.9935679999</v>
      </c>
      <c r="G20" s="191">
        <f>('[1]20242025BudgetAdj R81 mil'!G20*$H$1)+'[1]20242025BudgetAdj R81 mil'!G20</f>
        <v>1512491.8934840001</v>
      </c>
      <c r="H20" s="191">
        <f>('[1]20242025BudgetAdj R81 mil'!H20*$H$1)+'[1]20242025BudgetAdj R81 mil'!H20</f>
        <v>1554845.23502</v>
      </c>
      <c r="I20" s="191">
        <f>('[1]20242025BudgetAdj R81 mil'!I20*$H$1)+'[1]20242025BudgetAdj R81 mil'!I20</f>
        <v>1636672.4593119998</v>
      </c>
      <c r="J20" s="191">
        <f>('[1]20242025BudgetAdj R81 mil'!J20*$H$1)+'[1]20242025BudgetAdj R81 mil'!J20</f>
        <v>1431484.941744</v>
      </c>
      <c r="K20" s="191">
        <f>('[1]20242025BudgetAdj R81 mil'!K20*$H$1)+'[1]20242025BudgetAdj R81 mil'!K20</f>
        <v>1621414.7508680001</v>
      </c>
      <c r="L20" s="191">
        <f>('[1]20242025BudgetAdj R81 mil'!L20*$H$1)+'[1]20242025BudgetAdj R81 mil'!L20</f>
        <v>1695426.36494</v>
      </c>
      <c r="M20" s="191">
        <f>('[1]20242025BudgetAdj R81 mil'!M20*$H$1)+'[1]20242025BudgetAdj R81 mil'!M20</f>
        <v>2512237.7443680004</v>
      </c>
      <c r="N20" s="163">
        <f t="shared" si="3"/>
        <v>23349801.53198</v>
      </c>
    </row>
    <row r="21" spans="1:14" ht="15" thickBot="1" x14ac:dyDescent="0.35">
      <c r="A21" s="3" t="s">
        <v>11</v>
      </c>
      <c r="B21" s="191">
        <f>('[1]20242025BudgetAdj R81 mil'!B21*$H$1)+'[1]20242025BudgetAdj R81 mil'!B21</f>
        <v>925700.62930399994</v>
      </c>
      <c r="C21" s="191">
        <f>('[1]20242025BudgetAdj R81 mil'!C21*$H$1)+'[1]20242025BudgetAdj R81 mil'!C21</f>
        <v>925700.62930399994</v>
      </c>
      <c r="D21" s="191">
        <f>('[1]20242025BudgetAdj R81 mil'!D21*$H$1)+'[1]20242025BudgetAdj R81 mil'!D21</f>
        <v>1087555.2227320001</v>
      </c>
      <c r="E21" s="191">
        <f>('[1]20242025BudgetAdj R81 mil'!E21*$H$1)+'[1]20242025BudgetAdj R81 mil'!E21</f>
        <v>584534.69646000001</v>
      </c>
      <c r="F21" s="191">
        <f>('[1]20242025BudgetAdj R81 mil'!F21*$H$1)+'[1]20242025BudgetAdj R81 mil'!F21</f>
        <v>567352.75502399995</v>
      </c>
      <c r="G21" s="191">
        <f>('[1]20242025BudgetAdj R81 mil'!G21*$H$1)+'[1]20242025BudgetAdj R81 mil'!G21</f>
        <v>512552.99145600002</v>
      </c>
      <c r="H21" s="191">
        <f>('[1]20242025BudgetAdj R81 mil'!H21*$H$1)+'[1]20242025BudgetAdj R81 mil'!H21</f>
        <v>551781.26889599999</v>
      </c>
      <c r="I21" s="191">
        <f>('[1]20242025BudgetAdj R81 mil'!I21*$H$1)+'[1]20242025BudgetAdj R81 mil'!I21</f>
        <v>531534.62106799998</v>
      </c>
      <c r="J21" s="191">
        <f>('[1]20242025BudgetAdj R81 mil'!J21*$H$1)+'[1]20242025BudgetAdj R81 mil'!J21</f>
        <v>498487.475684</v>
      </c>
      <c r="K21" s="191">
        <f>('[1]20242025BudgetAdj R81 mil'!K21*$H$1)+'[1]20242025BudgetAdj R81 mil'!K21</f>
        <v>537910.84142399998</v>
      </c>
      <c r="L21" s="191">
        <f>('[1]20242025BudgetAdj R81 mil'!L21*$H$1)+'[1]20242025BudgetAdj R81 mil'!L21</f>
        <v>592840.0367559999</v>
      </c>
      <c r="M21" s="191">
        <f>('[1]20242025BudgetAdj R81 mil'!M21*$H$1)+'[1]20242025BudgetAdj R81 mil'!M21</f>
        <v>858276.25378000003</v>
      </c>
      <c r="N21" s="163">
        <f t="shared" si="3"/>
        <v>8174227.4218879994</v>
      </c>
    </row>
    <row r="22" spans="1:14" ht="15" thickBot="1" x14ac:dyDescent="0.35">
      <c r="A22" s="3" t="s">
        <v>12</v>
      </c>
      <c r="B22" s="191">
        <f>('[1]20242025BudgetAdj R81 mil'!B22*$H$1)+'[1]20242025BudgetAdj R81 mil'!B22</f>
        <v>167910.92463200001</v>
      </c>
      <c r="C22" s="191">
        <f>('[1]20242025BudgetAdj R81 mil'!C22*$H$1)+'[1]20242025BudgetAdj R81 mil'!C22</f>
        <v>186545.23584400001</v>
      </c>
      <c r="D22" s="191">
        <f>('[1]20242025BudgetAdj R81 mil'!D22*$H$1)+'[1]20242025BudgetAdj R81 mil'!D22</f>
        <v>145738.09571200001</v>
      </c>
      <c r="E22" s="191">
        <f>('[1]20242025BudgetAdj R81 mil'!E22*$H$1)+'[1]20242025BudgetAdj R81 mil'!E22</f>
        <v>117329.96642400001</v>
      </c>
      <c r="F22" s="191">
        <f>('[1]20242025BudgetAdj R81 mil'!F22*$H$1)+'[1]20242025BudgetAdj R81 mil'!F22</f>
        <v>117829.526056</v>
      </c>
      <c r="G22" s="191">
        <f>('[1]20242025BudgetAdj R81 mil'!G22*$H$1)+'[1]20242025BudgetAdj R81 mil'!G22</f>
        <v>106875.43767999999</v>
      </c>
      <c r="H22" s="191">
        <f>('[1]20242025BudgetAdj R81 mil'!H22*$H$1)+'[1]20242025BudgetAdj R81 mil'!H22</f>
        <v>122639.49627599999</v>
      </c>
      <c r="I22" s="191">
        <f>('[1]20242025BudgetAdj R81 mil'!I22*$H$1)+'[1]20242025BudgetAdj R81 mil'!I22</f>
        <v>119420.133008</v>
      </c>
      <c r="J22" s="191">
        <f>('[1]20242025BudgetAdj R81 mil'!J22*$H$1)+'[1]20242025BudgetAdj R81 mil'!J22</f>
        <v>107448.05662799999</v>
      </c>
      <c r="K22" s="191">
        <f>('[1]20242025BudgetAdj R81 mil'!K22*$H$1)+'[1]20242025BudgetAdj R81 mil'!K22</f>
        <v>124837.854768</v>
      </c>
      <c r="L22" s="191">
        <f>('[1]20242025BudgetAdj R81 mil'!L22*$H$1)+'[1]20242025BudgetAdj R81 mil'!L22</f>
        <v>136060.435852</v>
      </c>
      <c r="M22" s="191">
        <f>('[1]20242025BudgetAdj R81 mil'!M22*$H$1)+'[1]20242025BudgetAdj R81 mil'!M22</f>
        <v>184150.597928</v>
      </c>
      <c r="N22" s="163">
        <f t="shared" si="3"/>
        <v>1636785.7608080001</v>
      </c>
    </row>
    <row r="23" spans="1:14" ht="15" thickBot="1" x14ac:dyDescent="0.35">
      <c r="A23" s="1" t="s">
        <v>7</v>
      </c>
      <c r="B23" s="155">
        <f>SUM(B19:B22)</f>
        <v>4125478.5459359996</v>
      </c>
      <c r="C23" s="155">
        <f t="shared" ref="C23:M23" si="4">SUM(C19:C22)</f>
        <v>4144112.857148</v>
      </c>
      <c r="D23" s="155">
        <f t="shared" si="4"/>
        <v>5059385.9082799992</v>
      </c>
      <c r="E23" s="155">
        <f t="shared" si="4"/>
        <v>2778882.6071599997</v>
      </c>
      <c r="F23" s="155">
        <f t="shared" si="4"/>
        <v>2830108.2974120001</v>
      </c>
      <c r="G23" s="155">
        <f t="shared" si="4"/>
        <v>2588720.2839520001</v>
      </c>
      <c r="H23" s="155">
        <f t="shared" si="4"/>
        <v>2716051.3950240002</v>
      </c>
      <c r="I23" s="155">
        <f t="shared" si="4"/>
        <v>2768775.1853079996</v>
      </c>
      <c r="J23" s="155">
        <f t="shared" si="4"/>
        <v>2462559.6804160001</v>
      </c>
      <c r="K23" s="155">
        <f t="shared" si="4"/>
        <v>2767646.0999440001</v>
      </c>
      <c r="L23" s="155">
        <f t="shared" si="4"/>
        <v>2900449.2346720002</v>
      </c>
      <c r="M23" s="155">
        <f t="shared" si="4"/>
        <v>4103960.3565400005</v>
      </c>
      <c r="N23" s="155">
        <f>SUM(N19:N22)</f>
        <v>39246130.451792002</v>
      </c>
    </row>
    <row r="24" spans="1:14" x14ac:dyDescent="0.3">
      <c r="B24" s="238" t="str">
        <f>B11</f>
        <v>Projections with ESKOM Increase - 11,32%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x14ac:dyDescent="0.3">
      <c r="B25" s="273">
        <f>B10+B23</f>
        <v>388380661.03707206</v>
      </c>
      <c r="C25" s="273">
        <f t="shared" ref="C25:N25" si="5">C10+C23</f>
        <v>382433703.42513591</v>
      </c>
      <c r="D25" s="273">
        <f t="shared" si="5"/>
        <v>250514635.42379999</v>
      </c>
      <c r="E25" s="273">
        <f t="shared" si="5"/>
        <v>204649277.67578799</v>
      </c>
      <c r="F25" s="273">
        <f t="shared" si="5"/>
        <v>209811634.27237204</v>
      </c>
      <c r="G25" s="273">
        <f t="shared" si="5"/>
        <v>194195777.48405999</v>
      </c>
      <c r="H25" s="273">
        <f t="shared" si="5"/>
        <v>201160718.10172802</v>
      </c>
      <c r="I25" s="273">
        <f t="shared" si="5"/>
        <v>219431645.0064992</v>
      </c>
      <c r="J25" s="273">
        <f t="shared" si="5"/>
        <v>164146889.92539197</v>
      </c>
      <c r="K25" s="273">
        <f t="shared" si="5"/>
        <v>210861737.16128403</v>
      </c>
      <c r="L25" s="273">
        <f t="shared" si="5"/>
        <v>218532305.92613202</v>
      </c>
      <c r="M25" s="273">
        <f t="shared" si="5"/>
        <v>288134364.56073642</v>
      </c>
      <c r="N25" s="273">
        <f t="shared" si="5"/>
        <v>2932253350</v>
      </c>
    </row>
    <row r="26" spans="1:14" ht="15" thickBot="1" x14ac:dyDescent="0.35"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</row>
    <row r="27" spans="1:14" ht="15" thickBot="1" x14ac:dyDescent="0.35">
      <c r="A27" s="55" t="s">
        <v>194</v>
      </c>
      <c r="B27" s="246">
        <f>N23</f>
        <v>39246130.451792002</v>
      </c>
      <c r="N27" s="240"/>
    </row>
    <row r="28" spans="1:14" ht="15" hidden="1" thickBot="1" x14ac:dyDescent="0.35">
      <c r="A28" s="54" t="s">
        <v>58</v>
      </c>
      <c r="B28" s="245"/>
      <c r="N28" s="240"/>
    </row>
    <row r="29" spans="1:14" ht="15" hidden="1" thickBot="1" x14ac:dyDescent="0.35">
      <c r="A29" s="37"/>
      <c r="B29" s="243">
        <f>B27-B28</f>
        <v>39246130.451792002</v>
      </c>
    </row>
    <row r="30" spans="1:14" ht="14.55" hidden="1" customHeight="1" x14ac:dyDescent="0.3"/>
    <row r="31" spans="1:14" ht="15" hidden="1" customHeight="1" thickBot="1" x14ac:dyDescent="0.35"/>
    <row r="32" spans="1:14" ht="15" thickBot="1" x14ac:dyDescent="0.35">
      <c r="A32" s="55" t="str">
        <f>"Total "&amp;A13</f>
        <v>Total Projected Budged 2025/2026</v>
      </c>
      <c r="B32" s="246">
        <f>B27+B13</f>
        <v>2932253350</v>
      </c>
      <c r="C32" s="272"/>
      <c r="D32" s="246">
        <v>2932253350</v>
      </c>
      <c r="E32" s="250">
        <f>B32-D32</f>
        <v>0</v>
      </c>
      <c r="F32" s="250"/>
      <c r="G32" s="250"/>
    </row>
    <row r="33" spans="1:2" ht="15" hidden="1" thickBot="1" x14ac:dyDescent="0.35">
      <c r="A33" s="54" t="str">
        <f>"Total "&amp;A28</f>
        <v xml:space="preserve">Total Mid Year Review 2025/2026 Projection </v>
      </c>
      <c r="B33" s="247">
        <f>B14+B28</f>
        <v>0</v>
      </c>
    </row>
    <row r="34" spans="1:2" hidden="1" x14ac:dyDescent="0.3">
      <c r="A34" s="216"/>
      <c r="B34" s="244"/>
    </row>
    <row r="35" spans="1:2" ht="29.4" hidden="1" thickBot="1" x14ac:dyDescent="0.35">
      <c r="A35" s="188" t="s">
        <v>59</v>
      </c>
      <c r="B35" s="243">
        <f>B32-B33</f>
        <v>2932253350</v>
      </c>
    </row>
    <row r="36" spans="1:2" hidden="1" x14ac:dyDescent="0.3"/>
    <row r="37" spans="1:2" ht="14.55" hidden="1" customHeight="1" x14ac:dyDescent="0.3"/>
    <row r="38" spans="1:2" ht="14.55" hidden="1" customHeight="1" x14ac:dyDescent="0.3"/>
  </sheetData>
  <mergeCells count="2">
    <mergeCell ref="A2:N2"/>
    <mergeCell ref="A17:N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N30"/>
  <sheetViews>
    <sheetView topLeftCell="C1" workbookViewId="0">
      <selection activeCell="G13" sqref="G13"/>
    </sheetView>
  </sheetViews>
  <sheetFormatPr defaultRowHeight="14.4" x14ac:dyDescent="0.3"/>
  <cols>
    <col min="1" max="1" width="48.21875" customWidth="1"/>
    <col min="2" max="2" width="18.77734375" bestFit="1" customWidth="1"/>
    <col min="3" max="3" width="15.44140625" bestFit="1" customWidth="1"/>
    <col min="4" max="6" width="21.44140625" bestFit="1" customWidth="1"/>
    <col min="7" max="11" width="15.21875" bestFit="1" customWidth="1"/>
    <col min="12" max="13" width="15.44140625" bestFit="1" customWidth="1"/>
    <col min="14" max="14" width="17" bestFit="1" customWidth="1"/>
  </cols>
  <sheetData>
    <row r="1" spans="1:14" ht="15" thickBot="1" x14ac:dyDescent="0.35"/>
    <row r="2" spans="1:14" ht="15" thickBot="1" x14ac:dyDescent="0.35">
      <c r="A2" s="294" t="s">
        <v>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6">
        <v>44770</v>
      </c>
      <c r="C3" s="7">
        <v>44774</v>
      </c>
      <c r="D3" s="7">
        <v>44805</v>
      </c>
      <c r="E3" s="7">
        <v>44835</v>
      </c>
      <c r="F3" s="24">
        <v>44866</v>
      </c>
      <c r="G3" s="24">
        <v>44896</v>
      </c>
      <c r="H3" s="24">
        <v>44927</v>
      </c>
      <c r="I3" s="24">
        <v>44958</v>
      </c>
      <c r="J3" s="24">
        <v>44986</v>
      </c>
      <c r="K3" s="24">
        <v>45017</v>
      </c>
      <c r="L3" s="24">
        <v>44317</v>
      </c>
      <c r="M3" s="67">
        <v>44348</v>
      </c>
      <c r="N3" s="26" t="s">
        <v>2</v>
      </c>
    </row>
    <row r="4" spans="1:14" ht="15" thickBot="1" x14ac:dyDescent="0.35">
      <c r="A4" s="2" t="s">
        <v>3</v>
      </c>
      <c r="B4" s="57">
        <v>198269673.97999999</v>
      </c>
      <c r="C4" s="57">
        <v>171448460.09999999</v>
      </c>
      <c r="D4" s="57">
        <v>124198372</v>
      </c>
      <c r="E4" s="57">
        <v>108231401.34</v>
      </c>
      <c r="F4" s="94">
        <v>97785564.992400005</v>
      </c>
      <c r="G4" s="51">
        <v>98245519.548273996</v>
      </c>
      <c r="H4" s="51">
        <v>99538520.793254256</v>
      </c>
      <c r="I4" s="51">
        <v>90253785.540415719</v>
      </c>
      <c r="J4" s="51">
        <v>95596003.801500306</v>
      </c>
      <c r="K4" s="51">
        <v>100218333.0158</v>
      </c>
      <c r="L4" s="51">
        <v>108950058.27129999</v>
      </c>
      <c r="M4" s="51">
        <v>177937467.26879999</v>
      </c>
      <c r="N4" s="65">
        <f t="shared" ref="N4:N6" si="0">SUM(B4:M4)</f>
        <v>1470673160.6517444</v>
      </c>
    </row>
    <row r="5" spans="1:14" ht="15" thickBot="1" x14ac:dyDescent="0.35">
      <c r="A5" s="3" t="s">
        <v>4</v>
      </c>
      <c r="B5" s="57">
        <v>27196941</v>
      </c>
      <c r="C5" s="57">
        <v>23772167</v>
      </c>
      <c r="D5" s="57">
        <v>18039824.059999999</v>
      </c>
      <c r="E5" s="57">
        <v>15893587.710000001</v>
      </c>
      <c r="F5" s="51">
        <v>15072545.850259366</v>
      </c>
      <c r="G5" s="51">
        <v>14329751.743916051</v>
      </c>
      <c r="H5" s="51">
        <v>14950184.199805081</v>
      </c>
      <c r="I5" s="51">
        <v>14047467.089659519</v>
      </c>
      <c r="J5" s="51">
        <v>14884981.485884473</v>
      </c>
      <c r="K5" s="51">
        <v>14573959.33363821</v>
      </c>
      <c r="L5" s="51">
        <v>16238369.860713666</v>
      </c>
      <c r="M5" s="51">
        <v>25902940.529410239</v>
      </c>
      <c r="N5" s="65">
        <f t="shared" si="0"/>
        <v>214902719.86328664</v>
      </c>
    </row>
    <row r="6" spans="1:14" ht="15" thickBot="1" x14ac:dyDescent="0.35">
      <c r="A6" s="3" t="s">
        <v>5</v>
      </c>
      <c r="B6" s="57">
        <v>148405.68</v>
      </c>
      <c r="C6" s="57">
        <v>148405.68</v>
      </c>
      <c r="D6" s="57">
        <v>148405.68</v>
      </c>
      <c r="E6" s="57">
        <v>148405.68</v>
      </c>
      <c r="F6" s="51">
        <v>148405.68</v>
      </c>
      <c r="G6" s="51">
        <v>148405.68</v>
      </c>
      <c r="H6" s="51">
        <v>148405.68</v>
      </c>
      <c r="I6" s="51">
        <v>148405.68</v>
      </c>
      <c r="J6" s="51">
        <v>148405.68</v>
      </c>
      <c r="K6" s="51">
        <v>148405.68</v>
      </c>
      <c r="L6" s="51">
        <v>148405.68</v>
      </c>
      <c r="M6" s="51">
        <v>148405.68</v>
      </c>
      <c r="N6" s="65">
        <f t="shared" si="0"/>
        <v>1780868.1599999995</v>
      </c>
    </row>
    <row r="7" spans="1:14" ht="15" thickBot="1" x14ac:dyDescent="0.35">
      <c r="A7" s="3" t="s">
        <v>6</v>
      </c>
      <c r="B7" s="57">
        <v>1752642.75</v>
      </c>
      <c r="C7" s="57">
        <v>1564151.13</v>
      </c>
      <c r="D7" s="57">
        <v>1223255.6399999999</v>
      </c>
      <c r="E7" s="57">
        <v>1162311.57</v>
      </c>
      <c r="F7" s="51">
        <v>1116623.3061771668</v>
      </c>
      <c r="G7" s="51">
        <v>1171185.2588439223</v>
      </c>
      <c r="H7" s="51">
        <v>1193067.0442479015</v>
      </c>
      <c r="I7" s="51">
        <v>1070012.0028197838</v>
      </c>
      <c r="J7" s="51">
        <v>1121394.1341712212</v>
      </c>
      <c r="K7" s="51">
        <v>1072881.5546195838</v>
      </c>
      <c r="L7" s="51">
        <v>1143696.6005678903</v>
      </c>
      <c r="M7" s="51">
        <v>1711867.9805819246</v>
      </c>
      <c r="N7" s="65">
        <f>SUM(B7:M7)</f>
        <v>15303088.972029395</v>
      </c>
    </row>
    <row r="8" spans="1:14" ht="15" hidden="1" thickBot="1" x14ac:dyDescent="0.35">
      <c r="A8" s="4" t="s">
        <v>17</v>
      </c>
      <c r="B8" s="58"/>
      <c r="C8" s="59"/>
      <c r="D8" s="59"/>
      <c r="E8" s="59"/>
      <c r="N8" s="23"/>
    </row>
    <row r="9" spans="1:14" ht="15" thickBot="1" x14ac:dyDescent="0.35">
      <c r="A9" s="1" t="s">
        <v>7</v>
      </c>
      <c r="B9" s="12">
        <f>SUM(B4:B8)</f>
        <v>227367663.41</v>
      </c>
      <c r="C9" s="12">
        <f>SUM(C4:C8)</f>
        <v>196933183.91</v>
      </c>
      <c r="D9" s="12">
        <f>SUM(D4:D8)</f>
        <v>143609857.38</v>
      </c>
      <c r="E9" s="12">
        <f>SUM(E4:E8)</f>
        <v>125435706.30000001</v>
      </c>
      <c r="F9" s="31">
        <f t="shared" ref="F9:M9" si="1">SUM(F4:F7)</f>
        <v>114123139.82883655</v>
      </c>
      <c r="G9" s="31">
        <f t="shared" si="1"/>
        <v>113894862.23103398</v>
      </c>
      <c r="H9" s="31">
        <f t="shared" si="1"/>
        <v>115830177.71730724</v>
      </c>
      <c r="I9" s="31">
        <f t="shared" si="1"/>
        <v>105519670.31289503</v>
      </c>
      <c r="J9" s="31">
        <f t="shared" si="1"/>
        <v>111750785.101556</v>
      </c>
      <c r="K9" s="31">
        <f t="shared" si="1"/>
        <v>116013579.58405779</v>
      </c>
      <c r="L9" s="31">
        <f t="shared" si="1"/>
        <v>126480530.41258155</v>
      </c>
      <c r="M9" s="31">
        <f t="shared" si="1"/>
        <v>205700681.45879218</v>
      </c>
      <c r="N9" s="27">
        <f>+N4+N5+N6+N7+N8</f>
        <v>1702659837.6470606</v>
      </c>
    </row>
    <row r="10" spans="1:14" x14ac:dyDescent="0.3">
      <c r="B10" s="299"/>
      <c r="C10" s="299"/>
      <c r="D10" s="299"/>
      <c r="E10" s="299"/>
      <c r="F10" s="299"/>
      <c r="G10" s="61"/>
      <c r="H10" s="60"/>
      <c r="I10" s="60"/>
      <c r="J10" s="60"/>
      <c r="K10" s="60"/>
      <c r="L10" s="60"/>
      <c r="M10" s="60"/>
      <c r="N10" s="60"/>
    </row>
    <row r="11" spans="1:14" ht="15" thickBot="1" x14ac:dyDescent="0.35">
      <c r="C11" s="53"/>
      <c r="N11" s="39">
        <f>+N9-N8</f>
        <v>1702659837.6470606</v>
      </c>
    </row>
    <row r="12" spans="1:14" ht="16.2" thickBot="1" x14ac:dyDescent="0.35">
      <c r="A12" s="33" t="s">
        <v>46</v>
      </c>
      <c r="B12" s="84">
        <v>1641072238</v>
      </c>
      <c r="C12" s="96" t="s">
        <v>49</v>
      </c>
      <c r="D12" s="97" t="s">
        <v>50</v>
      </c>
      <c r="E12" s="98" t="s">
        <v>51</v>
      </c>
      <c r="F12" s="99" t="s">
        <v>52</v>
      </c>
      <c r="G12" s="32"/>
      <c r="H12" s="32"/>
      <c r="I12" s="32"/>
      <c r="J12" s="32"/>
      <c r="K12" s="32"/>
      <c r="L12" s="32"/>
      <c r="M12" s="32"/>
      <c r="N12" s="32"/>
    </row>
    <row r="13" spans="1:14" ht="16.2" thickBot="1" x14ac:dyDescent="0.35">
      <c r="A13" s="35" t="s">
        <v>23</v>
      </c>
      <c r="B13" s="36">
        <f>N9</f>
        <v>1702659837.6470606</v>
      </c>
      <c r="C13" s="100" t="s">
        <v>53</v>
      </c>
      <c r="D13" s="101">
        <v>-3511410375</v>
      </c>
      <c r="E13" s="101">
        <v>-3665912431.5</v>
      </c>
      <c r="F13" s="101">
        <v>-3830878490.9175</v>
      </c>
      <c r="G13" s="32"/>
      <c r="H13" s="32"/>
      <c r="I13" s="32"/>
      <c r="J13" s="32"/>
      <c r="K13" s="32"/>
      <c r="L13" s="32"/>
      <c r="M13" s="32"/>
      <c r="N13" s="32"/>
    </row>
    <row r="14" spans="1:14" ht="16.2" thickBot="1" x14ac:dyDescent="0.35">
      <c r="A14" s="37" t="s">
        <v>48</v>
      </c>
      <c r="B14" s="38">
        <f>B12-B13</f>
        <v>-61587599.647060633</v>
      </c>
      <c r="C14" s="100" t="s">
        <v>39</v>
      </c>
      <c r="D14" s="101">
        <v>2172416032.5278397</v>
      </c>
      <c r="E14" s="101">
        <v>2268002337.9590645</v>
      </c>
      <c r="F14" s="101">
        <v>2370062443.1672225</v>
      </c>
      <c r="G14" s="32"/>
      <c r="H14" s="32"/>
      <c r="I14" s="32"/>
      <c r="J14" s="32"/>
      <c r="K14" s="32"/>
      <c r="L14" s="32"/>
      <c r="M14" s="32"/>
      <c r="N14" s="32"/>
    </row>
    <row r="15" spans="1:14" ht="15.6" thickTop="1" thickBot="1" x14ac:dyDescent="0.35"/>
    <row r="16" spans="1:14" ht="15" thickBot="1" x14ac:dyDescent="0.35">
      <c r="A16" s="294" t="s">
        <v>24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</row>
    <row r="17" spans="1:14" ht="15" thickBot="1" x14ac:dyDescent="0.35">
      <c r="A17" s="1" t="s">
        <v>1</v>
      </c>
      <c r="B17" s="6">
        <v>44040</v>
      </c>
      <c r="C17" s="7">
        <v>44044</v>
      </c>
      <c r="D17" s="7">
        <v>44075</v>
      </c>
      <c r="E17" s="7">
        <v>44105</v>
      </c>
      <c r="F17" s="24">
        <v>44136</v>
      </c>
      <c r="G17" s="24">
        <v>44166</v>
      </c>
      <c r="H17" s="24">
        <v>44197</v>
      </c>
      <c r="I17" s="24">
        <v>44228</v>
      </c>
      <c r="J17" s="24">
        <v>44256</v>
      </c>
      <c r="K17" s="24">
        <v>44287</v>
      </c>
      <c r="L17" s="24">
        <v>44317</v>
      </c>
      <c r="M17" s="24">
        <v>44348</v>
      </c>
      <c r="N17" s="26" t="s">
        <v>2</v>
      </c>
    </row>
    <row r="18" spans="1:14" ht="15" thickBot="1" x14ac:dyDescent="0.35">
      <c r="A18" s="2" t="s">
        <v>9</v>
      </c>
      <c r="B18" s="85">
        <v>393104.59</v>
      </c>
      <c r="C18" s="85">
        <v>337365.64</v>
      </c>
      <c r="D18" s="85">
        <v>249561.67</v>
      </c>
      <c r="E18" s="85">
        <v>256612.02</v>
      </c>
      <c r="F18" s="86">
        <v>234914.62</v>
      </c>
      <c r="G18" s="86">
        <v>243652.58189999999</v>
      </c>
      <c r="H18" s="86">
        <v>239899.26869999999</v>
      </c>
      <c r="I18" s="86">
        <v>216128.28510000001</v>
      </c>
      <c r="J18" s="86">
        <v>243339.80580000003</v>
      </c>
      <c r="K18" s="86">
        <v>240212.0448</v>
      </c>
      <c r="L18" s="86">
        <v>260855.26740000004</v>
      </c>
      <c r="M18" s="87">
        <v>322159.38300000003</v>
      </c>
      <c r="N18" s="88">
        <f t="shared" ref="N18:N21" si="2">SUM(B18:M18)</f>
        <v>3237805.1767000002</v>
      </c>
    </row>
    <row r="19" spans="1:14" ht="15" thickBot="1" x14ac:dyDescent="0.35">
      <c r="A19" s="3" t="s">
        <v>10</v>
      </c>
      <c r="B19" s="89">
        <v>1793787.08</v>
      </c>
      <c r="C19" s="89">
        <v>1440828.38</v>
      </c>
      <c r="D19" s="89">
        <v>942753.43</v>
      </c>
      <c r="E19" s="89">
        <v>937294.43</v>
      </c>
      <c r="F19" s="86">
        <v>776574.09</v>
      </c>
      <c r="G19" s="86">
        <v>865263.80304000003</v>
      </c>
      <c r="H19" s="86">
        <v>925030.84751999984</v>
      </c>
      <c r="I19" s="86">
        <v>845944.10591183999</v>
      </c>
      <c r="J19" s="86">
        <v>918482.28112367983</v>
      </c>
      <c r="K19" s="86">
        <v>941195.11636800005</v>
      </c>
      <c r="L19" s="86">
        <v>1129536.0152855997</v>
      </c>
      <c r="M19" s="86">
        <v>1741530.1756319997</v>
      </c>
      <c r="N19" s="88">
        <f t="shared" si="2"/>
        <v>13258219.754881117</v>
      </c>
    </row>
    <row r="20" spans="1:14" ht="15" thickBot="1" x14ac:dyDescent="0.35">
      <c r="A20" s="3" t="s">
        <v>11</v>
      </c>
      <c r="B20" s="85">
        <v>634120.18999999994</v>
      </c>
      <c r="C20" s="85">
        <v>499915.34</v>
      </c>
      <c r="D20" s="85">
        <v>372799.07</v>
      </c>
      <c r="E20" s="85">
        <v>348155.08</v>
      </c>
      <c r="F20" s="86">
        <v>289605</v>
      </c>
      <c r="G20" s="86">
        <v>308686.40928000002</v>
      </c>
      <c r="H20" s="86">
        <v>319041.70415999996</v>
      </c>
      <c r="I20" s="86">
        <v>312138.17423999996</v>
      </c>
      <c r="J20" s="86">
        <v>340738.51247999998</v>
      </c>
      <c r="K20" s="86">
        <v>342710.94959999999</v>
      </c>
      <c r="L20" s="86">
        <v>394980.53328000003</v>
      </c>
      <c r="M20" s="87">
        <v>637082.39648160001</v>
      </c>
      <c r="N20" s="88">
        <f t="shared" si="2"/>
        <v>4799973.3595216004</v>
      </c>
    </row>
    <row r="21" spans="1:14" ht="15" thickBot="1" x14ac:dyDescent="0.35">
      <c r="A21" s="3" t="s">
        <v>12</v>
      </c>
      <c r="B21" s="92">
        <v>162437.85356989247</v>
      </c>
      <c r="C21" s="92">
        <v>142341.15548387094</v>
      </c>
      <c r="D21" s="92">
        <v>113284.57694623656</v>
      </c>
      <c r="E21" s="92">
        <v>105195.76369892473</v>
      </c>
      <c r="F21" s="86">
        <v>88388.52</v>
      </c>
      <c r="G21" s="86">
        <v>85714.399799999999</v>
      </c>
      <c r="H21" s="86">
        <v>98686.015200000009</v>
      </c>
      <c r="I21" s="86">
        <v>102246.8508</v>
      </c>
      <c r="J21" s="86">
        <v>91309.998600000006</v>
      </c>
      <c r="K21" s="86">
        <v>99449.051400000011</v>
      </c>
      <c r="L21" s="86">
        <v>93980.625299999985</v>
      </c>
      <c r="M21" s="86">
        <v>101865.3327</v>
      </c>
      <c r="N21" s="88">
        <f t="shared" si="2"/>
        <v>1284900.1434989248</v>
      </c>
    </row>
    <row r="22" spans="1:14" ht="15" thickBot="1" x14ac:dyDescent="0.35">
      <c r="A22" s="1" t="s">
        <v>7</v>
      </c>
      <c r="B22" s="90">
        <f>SUM(B18:B21)</f>
        <v>2983449.7135698926</v>
      </c>
      <c r="C22" s="90">
        <f t="shared" ref="C22:M22" si="3">SUM(C18:C21)</f>
        <v>2420450.5154838706</v>
      </c>
      <c r="D22" s="90">
        <f t="shared" si="3"/>
        <v>1678398.7469462368</v>
      </c>
      <c r="E22" s="90">
        <f t="shared" si="3"/>
        <v>1647257.2936989248</v>
      </c>
      <c r="F22" s="91">
        <f t="shared" si="3"/>
        <v>1389482.23</v>
      </c>
      <c r="G22" s="91">
        <f t="shared" si="3"/>
        <v>1503317.1940200001</v>
      </c>
      <c r="H22" s="91">
        <f t="shared" si="3"/>
        <v>1582657.8355799997</v>
      </c>
      <c r="I22" s="91">
        <f t="shared" si="3"/>
        <v>1476457.4160518397</v>
      </c>
      <c r="J22" s="91">
        <f t="shared" si="3"/>
        <v>1593870.5980036799</v>
      </c>
      <c r="K22" s="91">
        <f t="shared" si="3"/>
        <v>1623567.1621679999</v>
      </c>
      <c r="L22" s="91">
        <f t="shared" si="3"/>
        <v>1879352.4412655998</v>
      </c>
      <c r="M22" s="91">
        <f t="shared" si="3"/>
        <v>2802637.2878136002</v>
      </c>
      <c r="N22" s="88">
        <f>+N18+N19+N20+N21</f>
        <v>22580898.434601642</v>
      </c>
    </row>
    <row r="23" spans="1:14" x14ac:dyDescent="0.3">
      <c r="B23" s="299"/>
      <c r="C23" s="299"/>
      <c r="D23" s="299"/>
      <c r="E23" s="299"/>
      <c r="F23" s="299"/>
      <c r="G23" s="62"/>
      <c r="H23" s="60"/>
      <c r="I23" s="60"/>
      <c r="J23" s="60"/>
      <c r="K23" s="60"/>
      <c r="L23" s="60"/>
      <c r="M23" s="60"/>
      <c r="N23" s="60"/>
    </row>
    <row r="24" spans="1:14" ht="15" thickBot="1" x14ac:dyDescent="0.3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5" thickBot="1" x14ac:dyDescent="0.35">
      <c r="A25" s="55" t="s">
        <v>46</v>
      </c>
      <c r="B25" s="52">
        <v>0</v>
      </c>
      <c r="N25" s="39">
        <f>+N22+N11</f>
        <v>1725240736.0816622</v>
      </c>
    </row>
    <row r="26" spans="1:14" ht="15" thickBot="1" x14ac:dyDescent="0.35">
      <c r="A26" s="54" t="s">
        <v>23</v>
      </c>
      <c r="B26" s="36">
        <f>N22</f>
        <v>22580898.434601642</v>
      </c>
      <c r="D26" s="93"/>
      <c r="F26" s="93"/>
      <c r="N26" s="39"/>
    </row>
    <row r="27" spans="1:14" ht="15" thickBot="1" x14ac:dyDescent="0.35">
      <c r="A27" s="37" t="s">
        <v>16</v>
      </c>
      <c r="B27" s="38">
        <f>B25-B26</f>
        <v>-22580898.434601642</v>
      </c>
      <c r="D27" s="93"/>
      <c r="F27" s="93"/>
    </row>
    <row r="28" spans="1:14" ht="15.6" thickTop="1" thickBot="1" x14ac:dyDescent="0.35">
      <c r="D28" s="93"/>
      <c r="F28" s="93"/>
    </row>
    <row r="29" spans="1:14" ht="15" thickBot="1" x14ac:dyDescent="0.35">
      <c r="A29" s="55" t="s">
        <v>47</v>
      </c>
      <c r="B29" s="56">
        <f>N9</f>
        <v>1702659837.6470606</v>
      </c>
      <c r="D29" s="93"/>
      <c r="F29" s="93"/>
    </row>
    <row r="30" spans="1:14" ht="15" thickBot="1" x14ac:dyDescent="0.35">
      <c r="A30" s="54" t="s">
        <v>25</v>
      </c>
      <c r="B30" s="36">
        <f>B14+B27</f>
        <v>-84168498.081662267</v>
      </c>
    </row>
  </sheetData>
  <mergeCells count="4">
    <mergeCell ref="A2:N2"/>
    <mergeCell ref="B10:F10"/>
    <mergeCell ref="A16:N16"/>
    <mergeCell ref="B23:F2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8DD5-8903-4BCD-85C0-D55D9F343FB8}">
  <dimension ref="A1:N33"/>
  <sheetViews>
    <sheetView tabSelected="1" view="pageBreakPreview" topLeftCell="C1" zoomScaleNormal="100" zoomScaleSheetLayoutView="100" workbookViewId="0">
      <selection activeCell="A2" sqref="A2:N2"/>
    </sheetView>
  </sheetViews>
  <sheetFormatPr defaultRowHeight="14.4" x14ac:dyDescent="0.3"/>
  <cols>
    <col min="1" max="1" width="44.77734375" customWidth="1"/>
    <col min="2" max="2" width="16.5546875" style="235" bestFit="1" customWidth="1"/>
    <col min="3" max="12" width="16.21875" style="235" bestFit="1" customWidth="1"/>
    <col min="13" max="13" width="16.44140625" style="235" bestFit="1" customWidth="1"/>
    <col min="14" max="14" width="16.44140625" style="235" customWidth="1"/>
    <col min="15" max="15" width="9.21875" bestFit="1" customWidth="1"/>
    <col min="16" max="16" width="9.7773437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9.01E-2</v>
      </c>
    </row>
    <row r="2" spans="1:14" ht="15" thickBot="1" x14ac:dyDescent="0.35">
      <c r="A2" s="294" t="s">
        <v>171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46231</v>
      </c>
      <c r="C3" s="142">
        <v>46263</v>
      </c>
      <c r="D3" s="142">
        <v>46295</v>
      </c>
      <c r="E3" s="142">
        <v>46296</v>
      </c>
      <c r="F3" s="142">
        <v>46327</v>
      </c>
      <c r="G3" s="142">
        <v>46357</v>
      </c>
      <c r="H3" s="142">
        <v>46388</v>
      </c>
      <c r="I3" s="142">
        <v>46419</v>
      </c>
      <c r="J3" s="142">
        <v>46447</v>
      </c>
      <c r="K3" s="142">
        <v>46478</v>
      </c>
      <c r="L3" s="142">
        <v>46518</v>
      </c>
      <c r="M3" s="142">
        <v>46539</v>
      </c>
      <c r="N3" s="236" t="s">
        <v>2</v>
      </c>
    </row>
    <row r="4" spans="1:14" ht="15" thickBot="1" x14ac:dyDescent="0.35">
      <c r="A4" s="2" t="s">
        <v>3</v>
      </c>
      <c r="B4" s="191">
        <f>('MMM 20252026 Actual'!B4*$H$1)+'MMM 20252026 Actual'!B4</f>
        <v>305949950.89385098</v>
      </c>
      <c r="C4" s="191">
        <f>('MMM 20252026 Actual'!C4*$H$1)+'MMM 20252026 Actual'!C4</f>
        <v>323870131.09796399</v>
      </c>
      <c r="D4" s="191">
        <f>('MMM 20252026 Actual'!D4*$H$1)+'MMM 20252026 Actual'!D4</f>
        <v>205538279.09633702</v>
      </c>
      <c r="E4" s="191">
        <f>('MMM 20252026 Actual'!E4*$H$1)+'MMM 20252026 Actual'!E4</f>
        <v>185744715.72387499</v>
      </c>
      <c r="F4" s="191">
        <f>('MMM 20252026 Actual'!F4*$H$1)+'MMM 20252026 Actual'!F4</f>
        <v>195289692.20596001</v>
      </c>
      <c r="G4" s="191">
        <f>('MMM 20252026 Actual'!G4*$H$1)+'MMM 20252026 Actual'!G4</f>
        <v>190397164.25136</v>
      </c>
      <c r="H4" s="191">
        <f>('MMM 20252026 Actual'!H4*$H$1)+'MMM 20252026 Actual'!H4</f>
        <v>186828988.99766201</v>
      </c>
      <c r="I4" s="191">
        <f>('MMM 20252026 Actual'!I4*$H$1)+'MMM 20252026 Actual'!I4</f>
        <v>176729585.082941</v>
      </c>
      <c r="J4" s="191">
        <f>('MMM 20252026 Actual'!J4*$H$1)+'MMM 20252026 Actual'!J4</f>
        <v>142855351.44369575</v>
      </c>
      <c r="K4" s="191">
        <f>('MMM 20252026 Actual'!K4*$H$1)+'MMM 20252026 Actual'!K4</f>
        <v>191657218.24487007</v>
      </c>
      <c r="L4" s="191">
        <f>('MMM 20252026 Actual'!L4*$H$1)+'MMM 20252026 Actual'!L4</f>
        <v>200504797.05740511</v>
      </c>
      <c r="M4" s="191">
        <f>('MMM 20252026 Actual'!M4*$H$1)+'MMM 20252026 Actual'!M4</f>
        <v>260517694.23716301</v>
      </c>
      <c r="N4" s="237">
        <f>SUM(B4:M4)</f>
        <v>2565883568.3330841</v>
      </c>
    </row>
    <row r="5" spans="1:14" ht="15" thickBot="1" x14ac:dyDescent="0.35">
      <c r="A5" s="3" t="s">
        <v>4</v>
      </c>
      <c r="B5" s="191">
        <f>('MMM 20252026 Actual'!B5*$H$1)+'MMM 20252026 Actual'!B5</f>
        <v>43469076.284513004</v>
      </c>
      <c r="C5" s="191">
        <f>('MMM 20252026 Actual'!C5*$H$1)+'MMM 20252026 Actual'!C5</f>
        <v>45383455.606632002</v>
      </c>
      <c r="D5" s="191">
        <f>('MMM 20252026 Actual'!D5*$H$1)+'MMM 20252026 Actual'!D5</f>
        <v>37255034.652747996</v>
      </c>
      <c r="E5" s="191">
        <f>('MMM 20252026 Actual'!E5*$H$1)+'MMM 20252026 Actual'!E5</f>
        <v>27106324.435828</v>
      </c>
      <c r="F5" s="191">
        <f>('MMM 20252026 Actual'!F5*$H$1)+'MMM 20252026 Actual'!F5</f>
        <v>29668792.876910001</v>
      </c>
      <c r="G5" s="191">
        <f>('MMM 20252026 Actual'!G5*$H$1)+'MMM 20252026 Actual'!G5</f>
        <v>41866851.152565993</v>
      </c>
      <c r="H5" s="191">
        <f>('MMM 20252026 Actual'!H5*$H$1)+'MMM 20252026 Actual'!H5</f>
        <v>28701325.235253002</v>
      </c>
      <c r="I5" s="191">
        <f>('MMM 20252026 Actual'!I5*$H$1)+'MMM 20252026 Actual'!I5</f>
        <v>26811673.981355999</v>
      </c>
      <c r="J5" s="191">
        <f>('MMM 20252026 Actual'!J5*$H$1)+'MMM 20252026 Actual'!J5</f>
        <v>29094382.79108724</v>
      </c>
      <c r="K5" s="191">
        <f>('MMM 20252026 Actual'!K5*$H$1)+'MMM 20252026 Actual'!K5</f>
        <v>30334271.437644638</v>
      </c>
      <c r="L5" s="191">
        <f>('MMM 20252026 Actual'!L5*$H$1)+'MMM 20252026 Actual'!L5</f>
        <v>29302430.22334018</v>
      </c>
      <c r="M5" s="191">
        <f>('MMM 20252026 Actual'!M5*$H$1)+'MMM 20252026 Actual'!M5</f>
        <v>40976334.358237378</v>
      </c>
      <c r="N5" s="237">
        <f t="shared" ref="N5:N9" si="0">SUM(B5:M5)</f>
        <v>409969953.03611547</v>
      </c>
    </row>
    <row r="6" spans="1:14" ht="15" thickBot="1" x14ac:dyDescent="0.35">
      <c r="A6" s="3" t="s">
        <v>5</v>
      </c>
      <c r="B6" s="191">
        <f>('MMM 20252026 Actual'!B6*$H$1)+'MMM 20252026 Actual'!B6</f>
        <v>2215372.9812830002</v>
      </c>
      <c r="C6" s="191">
        <f>('MMM 20252026 Actual'!C6*$H$1)+'MMM 20252026 Actual'!C6</f>
        <v>1900747.3381929998</v>
      </c>
      <c r="D6" s="191">
        <f>('MMM 20252026 Actual'!D6*$H$1)+'MMM 20252026 Actual'!D6</f>
        <v>42896991.662799999</v>
      </c>
      <c r="E6" s="191">
        <f>('MMM 20252026 Actual'!E6*$H$1)+'MMM 20252026 Actual'!E6</f>
        <v>598230.386787</v>
      </c>
      <c r="F6" s="191">
        <f>('MMM 20252026 Actual'!F6*$H$1)+'MMM 20252026 Actual'!F6</f>
        <v>2602610.1962740002</v>
      </c>
      <c r="G6" s="191">
        <f>('MMM 20252026 Actual'!G6*$H$1)+'MMM 20252026 Actual'!G6</f>
        <v>2504125.3952000001</v>
      </c>
      <c r="H6" s="191">
        <f>('MMM 20252026 Actual'!H6*$H$1)+'MMM 20252026 Actual'!H6</f>
        <v>1299949.329866</v>
      </c>
      <c r="I6" s="191">
        <f>('MMM 20252026 Actual'!I6*$H$1)+'MMM 20252026 Actual'!I6</f>
        <v>1186869.9211600001</v>
      </c>
      <c r="J6" s="191">
        <f>('MMM 20252026 Actual'!J6*$H$1)+'MMM 20252026 Actual'!J6</f>
        <v>1662139.6052486277</v>
      </c>
      <c r="K6" s="191">
        <f>('MMM 20252026 Actual'!K6*$H$1)+'MMM 20252026 Actual'!K6</f>
        <v>1928229.6565066346</v>
      </c>
      <c r="L6" s="191">
        <f>('MMM 20252026 Actual'!L6*$H$1)+'MMM 20252026 Actual'!L6</f>
        <v>2039916.3842065362</v>
      </c>
      <c r="M6" s="191">
        <f>('MMM 20252026 Actual'!M6*$H$1)+'MMM 20252026 Actual'!M6</f>
        <v>4112671.8559912657</v>
      </c>
      <c r="N6" s="237">
        <f t="shared" si="0"/>
        <v>64947854.713516057</v>
      </c>
    </row>
    <row r="7" spans="1:14" ht="15" thickBot="1" x14ac:dyDescent="0.35">
      <c r="A7" s="3" t="s">
        <v>6</v>
      </c>
      <c r="B7" s="191">
        <f>('MMM 20252026 Actual'!B7*$H$1)+'MMM 20252026 Actual'!B7</f>
        <v>2894762.4576750002</v>
      </c>
      <c r="C7" s="191">
        <f>('MMM 20252026 Actual'!C7*$H$1)+'MMM 20252026 Actual'!C7</f>
        <v>2936612.1706459997</v>
      </c>
      <c r="D7" s="191">
        <f>('MMM 20252026 Actual'!D7*$H$1)+'MMM 20252026 Actual'!D7</f>
        <v>2482510.4127560002</v>
      </c>
      <c r="E7" s="191">
        <f>('MMM 20252026 Actual'!E7*$H$1)+'MMM 20252026 Actual'!E7</f>
        <v>2096699.53911</v>
      </c>
      <c r="F7" s="191">
        <f>('MMM 20252026 Actual'!F7*$H$1)+'MMM 20252026 Actual'!F7</f>
        <v>2257067.6275289999</v>
      </c>
      <c r="G7" s="191">
        <f>('MMM 20252026 Actual'!G7*$H$1)+'MMM 20252026 Actual'!G7</f>
        <v>3510060.3003400001</v>
      </c>
      <c r="H7" s="191">
        <f>('MMM 20252026 Actual'!H7*$H$1)+'MMM 20252026 Actual'!H7</f>
        <v>2424785.9223170001</v>
      </c>
      <c r="I7" s="191">
        <f>('MMM 20252026 Actual'!I7*$H$1)+'MMM 20252026 Actual'!I7</f>
        <v>2182200.8894509999</v>
      </c>
      <c r="J7" s="191">
        <f>('MMM 20252026 Actual'!J7*$H$1)+'MMM 20252026 Actual'!J7</f>
        <v>2045491.624807378</v>
      </c>
      <c r="K7" s="191">
        <f>('MMM 20252026 Actual'!K7*$H$1)+'MMM 20252026 Actual'!K7</f>
        <v>2216145.5002392773</v>
      </c>
      <c r="L7" s="191">
        <f>('MMM 20252026 Actual'!L7*$H$1)+'MMM 20252026 Actual'!L7</f>
        <v>2399803.1979793166</v>
      </c>
      <c r="M7" s="191">
        <f>('MMM 20252026 Actual'!M7*$H$1)+'MMM 20252026 Actual'!M7</f>
        <v>3201982.6398127172</v>
      </c>
      <c r="N7" s="237">
        <f t="shared" si="0"/>
        <v>30648122.282662682</v>
      </c>
    </row>
    <row r="8" spans="1:14" ht="15" thickBot="1" x14ac:dyDescent="0.35">
      <c r="A8" s="3" t="s">
        <v>63</v>
      </c>
      <c r="B8" s="191">
        <f>('MMM 20252026 Actual'!B8*$H$1)+'MMM 20252026 Actual'!B8</f>
        <v>419433.471105</v>
      </c>
      <c r="C8" s="191">
        <f>('MMM 20252026 Actual'!C8*$H$1)+'MMM 20252026 Actual'!C8</f>
        <v>487608.40141200001</v>
      </c>
      <c r="D8" s="191">
        <f>('MMM 20252026 Actual'!D8*$H$1)+'MMM 20252026 Actual'!D8</f>
        <v>543947.54916699999</v>
      </c>
      <c r="E8" s="191">
        <f>('MMM 20252026 Actual'!E8*$H$1)+'MMM 20252026 Actual'!E8</f>
        <v>562663.27984900004</v>
      </c>
      <c r="F8" s="191">
        <f>('MMM 20252026 Actual'!F8*$H$1)+'MMM 20252026 Actual'!F8</f>
        <v>618929.60892399994</v>
      </c>
      <c r="G8" s="191">
        <f>('MMM 20252026 Actual'!G8*$H$1)+'MMM 20252026 Actual'!G8</f>
        <v>626314.22997674078</v>
      </c>
      <c r="H8" s="191">
        <f>('MMM 20252026 Actual'!H8*$H$1)+'MMM 20252026 Actual'!H8</f>
        <v>637641.75317699998</v>
      </c>
      <c r="I8" s="191">
        <f>('MMM 20252026 Actual'!I8*$H$1)+'MMM 20252026 Actual'!I8</f>
        <v>543870.90423600003</v>
      </c>
      <c r="J8" s="191">
        <f>('MMM 20252026 Actual'!J8*$H$1)+'MMM 20252026 Actual'!J8</f>
        <v>584559.95121428964</v>
      </c>
      <c r="K8" s="191">
        <f>('MMM 20252026 Actual'!K8*$H$1)+'MMM 20252026 Actual'!K8</f>
        <v>696252.6493308451</v>
      </c>
      <c r="L8" s="191">
        <f>('MMM 20252026 Actual'!L8*$H$1)+'MMM 20252026 Actual'!L8</f>
        <v>802453.2922249448</v>
      </c>
      <c r="M8" s="191">
        <f>('MMM 20252026 Actual'!M8*$H$1)+'MMM 20252026 Actual'!M8</f>
        <v>802453.2922249448</v>
      </c>
      <c r="N8" s="237">
        <f t="shared" si="0"/>
        <v>7326128.382841764</v>
      </c>
    </row>
    <row r="9" spans="1:14" ht="15" thickBot="1" x14ac:dyDescent="0.35">
      <c r="A9" s="4" t="s">
        <v>167</v>
      </c>
      <c r="B9" s="191">
        <f>('MMM 20252026 Actual'!B9*$H$1)+'MMM 20252026 Actual'!B9</f>
        <v>14362.939579999998</v>
      </c>
      <c r="C9" s="191">
        <f>('MMM 20252026 Actual'!C9*$H$1)+'MMM 20252026 Actual'!C9</f>
        <v>8826.9539380000006</v>
      </c>
      <c r="D9" s="191">
        <f>('MMM 20252026 Actual'!D9*$H$1)+'MMM 20252026 Actual'!D9</f>
        <v>8826.9539380000006</v>
      </c>
      <c r="E9" s="191">
        <f>('MMM 20252026 Actual'!E9*$H$1)+'MMM 20252026 Actual'!E9</f>
        <v>8542.3397289999994</v>
      </c>
      <c r="F9" s="191">
        <f>('MMM 20252026 Actual'!F9*$H$1)+'MMM 20252026 Actual'!F9</f>
        <v>8826.9539380000006</v>
      </c>
      <c r="G9" s="191">
        <f>('MMM 20252026 Actual'!G9*$H$1)+'MMM 20252026 Actual'!G9</f>
        <v>9779.7558430000008</v>
      </c>
      <c r="H9" s="191">
        <f>('MMM 20252026 Actual'!H9*$H$1)+'MMM 20252026 Actual'!H9</f>
        <v>8788.7459330000002</v>
      </c>
      <c r="I9" s="191">
        <f>('MMM 20252026 Actual'!I9*$H$1)+'MMM 20252026 Actual'!I9</f>
        <v>8788.7459330000002</v>
      </c>
      <c r="J9" s="191">
        <f>('MMM 20252026 Actual'!J9*$H$1)+'MMM 20252026 Actual'!J9</f>
        <v>10162.983995040802</v>
      </c>
      <c r="K9" s="191">
        <f>('MMM 20252026 Actual'!K9*$H$1)+'MMM 20252026 Actual'!K9</f>
        <v>11251.177375257599</v>
      </c>
      <c r="L9" s="191">
        <f>('MMM 20252026 Actual'!L9*$H$1)+'MMM 20252026 Actual'!L9</f>
        <v>10886.824204427601</v>
      </c>
      <c r="M9" s="191">
        <f>('MMM 20252026 Actual'!M9*$H$1)+'MMM 20252026 Actual'!M9</f>
        <v>10407.239565169039</v>
      </c>
      <c r="N9" s="237">
        <f t="shared" si="0"/>
        <v>119451.61397189504</v>
      </c>
    </row>
    <row r="10" spans="1:14" ht="15" thickBot="1" x14ac:dyDescent="0.35">
      <c r="A10" s="1" t="s">
        <v>7</v>
      </c>
      <c r="B10" s="155">
        <f t="shared" ref="B10:L10" si="1">SUM(B4:B9)</f>
        <v>354962959.02800697</v>
      </c>
      <c r="C10" s="155">
        <f t="shared" si="1"/>
        <v>374587381.56878501</v>
      </c>
      <c r="D10" s="155">
        <f t="shared" si="1"/>
        <v>288725590.32774603</v>
      </c>
      <c r="E10" s="155">
        <f t="shared" si="1"/>
        <v>216117175.70517799</v>
      </c>
      <c r="F10" s="155">
        <f t="shared" si="1"/>
        <v>230445919.46953502</v>
      </c>
      <c r="G10" s="155">
        <f t="shared" si="1"/>
        <v>238914295.08528575</v>
      </c>
      <c r="H10" s="155">
        <f t="shared" si="1"/>
        <v>219901479.98420799</v>
      </c>
      <c r="I10" s="155">
        <f t="shared" si="1"/>
        <v>207462989.52507699</v>
      </c>
      <c r="J10" s="155">
        <f t="shared" si="1"/>
        <v>176252088.40004835</v>
      </c>
      <c r="K10" s="155">
        <f t="shared" si="1"/>
        <v>226843368.66596672</v>
      </c>
      <c r="L10" s="155">
        <f t="shared" si="1"/>
        <v>235060286.97936052</v>
      </c>
      <c r="M10" s="155">
        <f>SUM(M4:M9)</f>
        <v>309621543.62299448</v>
      </c>
      <c r="N10" s="155">
        <f>SUM(N4:N9)</f>
        <v>3078895078.3621922</v>
      </c>
    </row>
    <row r="11" spans="1:14" x14ac:dyDescent="0.3">
      <c r="B11" s="238" t="s">
        <v>241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3078895078.3621922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3078895078.3621922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172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46231</v>
      </c>
      <c r="C18" s="142">
        <f t="shared" si="2"/>
        <v>46263</v>
      </c>
      <c r="D18" s="142">
        <f t="shared" si="2"/>
        <v>46295</v>
      </c>
      <c r="E18" s="142">
        <f t="shared" si="2"/>
        <v>46296</v>
      </c>
      <c r="F18" s="142">
        <f t="shared" si="2"/>
        <v>46327</v>
      </c>
      <c r="G18" s="142">
        <f t="shared" si="2"/>
        <v>46357</v>
      </c>
      <c r="H18" s="142">
        <f t="shared" si="2"/>
        <v>46388</v>
      </c>
      <c r="I18" s="142">
        <f t="shared" si="2"/>
        <v>46419</v>
      </c>
      <c r="J18" s="142">
        <f t="shared" si="2"/>
        <v>46447</v>
      </c>
      <c r="K18" s="142">
        <f t="shared" si="2"/>
        <v>46478</v>
      </c>
      <c r="L18" s="142">
        <f t="shared" si="2"/>
        <v>46518</v>
      </c>
      <c r="M18" s="142">
        <f t="shared" si="2"/>
        <v>46539</v>
      </c>
      <c r="N18" s="236" t="s">
        <v>2</v>
      </c>
    </row>
    <row r="19" spans="1:14" ht="15" thickBot="1" x14ac:dyDescent="0.35">
      <c r="A19" s="2" t="s">
        <v>9</v>
      </c>
      <c r="B19" s="191">
        <f>('MMM 20252026 Actual'!B19*$H$1)+'MMM 20252026 Actual'!B19</f>
        <v>474899.852097</v>
      </c>
      <c r="C19" s="191">
        <f>('MMM 20252026 Actual'!C19*$H$1)+'MMM 20252026 Actual'!C19</f>
        <v>376730.19893300004</v>
      </c>
      <c r="D19" s="191">
        <f>('MMM 20252026 Actual'!D19*$H$1)+'MMM 20252026 Actual'!D19</f>
        <v>329050.91458799999</v>
      </c>
      <c r="E19" s="191">
        <f>('MMM 20252026 Actual'!E19*$H$1)+'MMM 20252026 Actual'!E19</f>
        <v>262312.72518000001</v>
      </c>
      <c r="F19" s="191">
        <f>('MMM 20252026 Actual'!F19*$H$1)+'MMM 20252026 Actual'!F19</f>
        <v>269955.32907199999</v>
      </c>
      <c r="G19" s="191">
        <f>('MMM 20252026 Actual'!G19*$H$1)+'MMM 20252026 Actual'!G19</f>
        <v>366938.95343599998</v>
      </c>
      <c r="H19" s="191">
        <f>('MMM 20252026 Actual'!H19*$H$1)+'MMM 20252026 Actual'!H19</f>
        <v>253827.593899</v>
      </c>
      <c r="I19" s="191">
        <f>('MMM 20252026 Actual'!I19*$H$1)+'MMM 20252026 Actual'!I19</f>
        <v>241223.22544100002</v>
      </c>
      <c r="J19" s="191">
        <f>('MMM 20252026 Actual'!J19*$H$1)+'MMM 20252026 Actual'!J19</f>
        <v>463444.24885303597</v>
      </c>
      <c r="K19" s="191">
        <f>('MMM 20252026 Actual'!K19*$H$1)+'MMM 20252026 Actual'!K19</f>
        <v>527044.43990884838</v>
      </c>
      <c r="L19" s="191">
        <f>('MMM 20252026 Actual'!L19*$H$1)+'MMM 20252026 Actual'!L19</f>
        <v>519021.02510487242</v>
      </c>
      <c r="M19" s="191">
        <f>('MMM 20252026 Actual'!M19*$H$1)+'MMM 20252026 Actual'!M19</f>
        <v>598787.30848180642</v>
      </c>
      <c r="N19" s="163">
        <f>SUM(B19:M19)</f>
        <v>4683235.8149945633</v>
      </c>
    </row>
    <row r="20" spans="1:14" ht="15" thickBot="1" x14ac:dyDescent="0.35">
      <c r="A20" s="3" t="s">
        <v>10</v>
      </c>
      <c r="B20" s="191">
        <f>('MMM 20252026 Actual'!B20*$H$1)+'MMM 20252026 Actual'!B20</f>
        <v>2824565.5335809998</v>
      </c>
      <c r="C20" s="191">
        <f>('MMM 20252026 Actual'!C20*$H$1)+'MMM 20252026 Actual'!C20</f>
        <v>2936486.8309479998</v>
      </c>
      <c r="D20" s="191">
        <f>('MMM 20252026 Actual'!D20*$H$1)+'MMM 20252026 Actual'!D20</f>
        <v>2265964.5440850002</v>
      </c>
      <c r="E20" s="191">
        <f>('MMM 20252026 Actual'!E20*$H$1)+'MMM 20252026 Actual'!E20</f>
        <v>1765073.2741729999</v>
      </c>
      <c r="F20" s="191">
        <f>('MMM 20252026 Actual'!F20*$H$1)+'MMM 20252026 Actual'!F20</f>
        <v>1767295.3231120002</v>
      </c>
      <c r="G20" s="191">
        <f>('MMM 20252026 Actual'!G20*$H$1)+'MMM 20252026 Actual'!G20</f>
        <v>2532086.6237149998</v>
      </c>
      <c r="H20" s="191">
        <f>('MMM 20252026 Actual'!H20*$H$1)+'MMM 20252026 Actual'!H20</f>
        <v>1687230.3014710001</v>
      </c>
      <c r="I20" s="191">
        <f>('MMM 20252026 Actual'!I20*$H$1)+'MMM 20252026 Actual'!I20</f>
        <v>1594304.454446</v>
      </c>
      <c r="J20" s="191">
        <f>('MMM 20252026 Actual'!J20*$H$1)+'MMM 20252026 Actual'!J20</f>
        <v>1560461.7349951344</v>
      </c>
      <c r="K20" s="191">
        <f>('MMM 20252026 Actual'!K20*$H$1)+'MMM 20252026 Actual'!K20</f>
        <v>1767504.2199212068</v>
      </c>
      <c r="L20" s="191">
        <f>('MMM 20252026 Actual'!L20*$H$1)+'MMM 20252026 Actual'!L20</f>
        <v>1848184.280421094</v>
      </c>
      <c r="M20" s="191">
        <f>('MMM 20252026 Actual'!M20*$H$1)+'MMM 20252026 Actual'!M20</f>
        <v>2738590.365135557</v>
      </c>
      <c r="N20" s="163">
        <f t="shared" ref="N20:N22" si="3">SUM(B20:M20)</f>
        <v>25287747.486003991</v>
      </c>
    </row>
    <row r="21" spans="1:14" ht="15" thickBot="1" x14ac:dyDescent="0.35">
      <c r="A21" s="3" t="s">
        <v>11</v>
      </c>
      <c r="B21" s="191">
        <f>('MMM 20252026 Actual'!B21*$H$1)+'MMM 20252026 Actual'!B21</f>
        <v>1020748.4375550001</v>
      </c>
      <c r="C21" s="191">
        <f>('MMM 20252026 Actual'!C21*$H$1)+'MMM 20252026 Actual'!C21</f>
        <v>1015655.8936920001</v>
      </c>
      <c r="D21" s="191">
        <f>('MMM 20252026 Actual'!D21*$H$1)+'MMM 20252026 Actual'!D21</f>
        <v>771973.06471999991</v>
      </c>
      <c r="E21" s="191">
        <f>('MMM 20252026 Actual'!E21*$H$1)+'MMM 20252026 Actual'!E21</f>
        <v>622139.43017599999</v>
      </c>
      <c r="F21" s="191">
        <f>('MMM 20252026 Actual'!F21*$H$1)+'MMM 20252026 Actual'!F21</f>
        <v>603555.66700000002</v>
      </c>
      <c r="G21" s="191">
        <f>('MMM 20252026 Actual'!G21*$H$1)+'MMM 20252026 Actual'!G21</f>
        <v>915715.28586999991</v>
      </c>
      <c r="H21" s="191">
        <f>('MMM 20252026 Actual'!H21*$H$1)+'MMM 20252026 Actual'!H21</f>
        <v>618490.04790100001</v>
      </c>
      <c r="I21" s="191">
        <f>('MMM 20252026 Actual'!I21*$H$1)+'MMM 20252026 Actual'!I21</f>
        <v>578435.67512499995</v>
      </c>
      <c r="J21" s="191">
        <f>('MMM 20252026 Actual'!J21*$H$1)+'MMM 20252026 Actual'!J21</f>
        <v>543401.19724312844</v>
      </c>
      <c r="K21" s="191">
        <f>('MMM 20252026 Actual'!K21*$H$1)+'MMM 20252026 Actual'!K21</f>
        <v>586376.60823630239</v>
      </c>
      <c r="L21" s="191">
        <f>('MMM 20252026 Actual'!L21*$H$1)+'MMM 20252026 Actual'!L21</f>
        <v>646254.92406771553</v>
      </c>
      <c r="M21" s="191">
        <f>('MMM 20252026 Actual'!M21*$H$1)+'MMM 20252026 Actual'!M21</f>
        <v>935606.94424557802</v>
      </c>
      <c r="N21" s="163">
        <f t="shared" si="3"/>
        <v>8858353.175831724</v>
      </c>
    </row>
    <row r="22" spans="1:14" ht="15" thickBot="1" x14ac:dyDescent="0.35">
      <c r="A22" s="3" t="s">
        <v>12</v>
      </c>
      <c r="B22" s="191">
        <f>('MMM 20252026 Actual'!B22*$H$1)+'MMM 20252026 Actual'!B22</f>
        <v>180652.876338</v>
      </c>
      <c r="C22" s="191">
        <f>('MMM 20252026 Actual'!C22*$H$1)+'MMM 20252026 Actual'!C22</f>
        <v>181932.86085699999</v>
      </c>
      <c r="D22" s="191">
        <f>('MMM 20252026 Actual'!D22*$H$1)+'MMM 20252026 Actual'!D22</f>
        <v>130610.62582700001</v>
      </c>
      <c r="E22" s="191">
        <f>('MMM 20252026 Actual'!E22*$H$1)+'MMM 20252026 Actual'!E22</f>
        <v>178087.325988</v>
      </c>
      <c r="F22" s="191">
        <f>('MMM 20252026 Actual'!F22*$H$1)+'MMM 20252026 Actual'!F22</f>
        <v>185091.66542900002</v>
      </c>
      <c r="G22" s="191">
        <f>('MMM 20252026 Actual'!G22*$H$1)+'MMM 20252026 Actual'!G22</f>
        <v>288555.57455999998</v>
      </c>
      <c r="H22" s="191">
        <f>('MMM 20252026 Actual'!H22*$H$1)+'MMM 20252026 Actual'!H22</f>
        <v>178282.80272000001</v>
      </c>
      <c r="I22" s="191">
        <f>('MMM 20252026 Actual'!I22*$H$1)+'MMM 20252026 Actual'!I22</f>
        <v>165508.21514700001</v>
      </c>
      <c r="J22" s="191">
        <f>('MMM 20252026 Actual'!J22*$H$1)+'MMM 20252026 Actual'!J22</f>
        <v>117129.1265301828</v>
      </c>
      <c r="K22" s="191">
        <f>('MMM 20252026 Actual'!K22*$H$1)+'MMM 20252026 Actual'!K22</f>
        <v>136085.7454825968</v>
      </c>
      <c r="L22" s="191">
        <f>('MMM 20252026 Actual'!L22*$H$1)+'MMM 20252026 Actual'!L22</f>
        <v>148319.48112226519</v>
      </c>
      <c r="M22" s="191">
        <f>('MMM 20252026 Actual'!M22*$H$1)+'MMM 20252026 Actual'!M22</f>
        <v>200742.56680131279</v>
      </c>
      <c r="N22" s="163">
        <f t="shared" si="3"/>
        <v>2090998.8668023576</v>
      </c>
    </row>
    <row r="23" spans="1:14" ht="15" thickBot="1" x14ac:dyDescent="0.35">
      <c r="A23" s="1" t="s">
        <v>7</v>
      </c>
      <c r="B23" s="155">
        <f t="shared" ref="B23:M23" si="4">SUM(B19:B22)</f>
        <v>4500866.6995710004</v>
      </c>
      <c r="C23" s="155">
        <f t="shared" si="4"/>
        <v>4510805.78443</v>
      </c>
      <c r="D23" s="155">
        <f t="shared" si="4"/>
        <v>3497599.1492200005</v>
      </c>
      <c r="E23" s="155">
        <f t="shared" si="4"/>
        <v>2827612.7555169999</v>
      </c>
      <c r="F23" s="155">
        <f t="shared" si="4"/>
        <v>2825897.9846129999</v>
      </c>
      <c r="G23" s="155">
        <f t="shared" si="4"/>
        <v>4103296.4375809995</v>
      </c>
      <c r="H23" s="155">
        <f t="shared" si="4"/>
        <v>2737830.745991</v>
      </c>
      <c r="I23" s="155">
        <f t="shared" si="4"/>
        <v>2579471.5701589999</v>
      </c>
      <c r="J23" s="155">
        <f t="shared" si="4"/>
        <v>2684436.3076214818</v>
      </c>
      <c r="K23" s="155">
        <f t="shared" si="4"/>
        <v>3017011.0135489544</v>
      </c>
      <c r="L23" s="155">
        <f t="shared" si="4"/>
        <v>3161779.7107159472</v>
      </c>
      <c r="M23" s="155">
        <f t="shared" si="4"/>
        <v>4473727.1846642541</v>
      </c>
      <c r="N23" s="155">
        <f>SUM(N19:N22)</f>
        <v>40920335.343632631</v>
      </c>
    </row>
    <row r="24" spans="1:14" x14ac:dyDescent="0.3">
      <c r="B24" s="238" t="str">
        <f>B11</f>
        <v>Projections with ESKOM Increase - 9,1%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40920335.343632631</v>
      </c>
      <c r="N26" s="240"/>
    </row>
    <row r="27" spans="1:14" ht="15" hidden="1" thickBot="1" x14ac:dyDescent="0.35">
      <c r="A27" s="54" t="str">
        <f>A14</f>
        <v xml:space="preserve">Mid Year Review 2026/2027 Projection </v>
      </c>
      <c r="B27" s="245"/>
      <c r="N27" s="240"/>
    </row>
    <row r="28" spans="1:14" ht="15" hidden="1" thickBot="1" x14ac:dyDescent="0.35">
      <c r="A28" s="37"/>
      <c r="B28" s="243">
        <f>B26-B27</f>
        <v>40920335.343632631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3119815413.7058249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3119815413.7058249</v>
      </c>
    </row>
  </sheetData>
  <mergeCells count="2">
    <mergeCell ref="A2:N2"/>
    <mergeCell ref="A17:N17"/>
  </mergeCells>
  <pageMargins left="0.7" right="0.7" top="0.75" bottom="0.75" header="0.3" footer="0.3"/>
  <pageSetup paperSize="9" scale="43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BA15-AD0F-4B65-8CA8-621DBD1300EC}">
  <dimension ref="A1:N33"/>
  <sheetViews>
    <sheetView view="pageBreakPreview" zoomScaleNormal="100" zoomScaleSheetLayoutView="100"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192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46596</v>
      </c>
      <c r="C3" s="142">
        <v>46628</v>
      </c>
      <c r="D3" s="142">
        <v>46660</v>
      </c>
      <c r="E3" s="142">
        <v>46661</v>
      </c>
      <c r="F3" s="142">
        <v>46694</v>
      </c>
      <c r="G3" s="142">
        <v>46725</v>
      </c>
      <c r="H3" s="142">
        <v>46753</v>
      </c>
      <c r="I3" s="142">
        <v>46784</v>
      </c>
      <c r="J3" s="142">
        <v>46813</v>
      </c>
      <c r="K3" s="142">
        <v>46844</v>
      </c>
      <c r="L3" s="142">
        <v>46874</v>
      </c>
      <c r="M3" s="142">
        <v>46905</v>
      </c>
      <c r="N3" s="236" t="s">
        <v>2</v>
      </c>
    </row>
    <row r="4" spans="1:14" ht="15" thickBot="1" x14ac:dyDescent="0.35">
      <c r="A4" s="2" t="s">
        <v>3</v>
      </c>
      <c r="B4" s="191">
        <f>('MMM 20262027 Bulk Purchases'!B4*$H$1)+'MMM 20262027 Bulk Purchases'!B4</f>
        <v>319717698.68407428</v>
      </c>
      <c r="C4" s="191">
        <f>('MMM 20262027 Bulk Purchases'!C4*$H$1)+'MMM 20262027 Bulk Purchases'!C4</f>
        <v>338444286.99737239</v>
      </c>
      <c r="D4" s="191">
        <f>('MMM 20262027 Bulk Purchases'!D4*$H$1)+'MMM 20262027 Bulk Purchases'!D4</f>
        <v>214787501.65567219</v>
      </c>
      <c r="E4" s="191">
        <f>('MMM 20262027 Bulk Purchases'!E4*$H$1)+'MMM 20262027 Bulk Purchases'!E4</f>
        <v>194103227.93144935</v>
      </c>
      <c r="F4" s="191">
        <f>('MMM 20262027 Bulk Purchases'!F4*$H$1)+'MMM 20262027 Bulk Purchases'!F4</f>
        <v>204077728.35522822</v>
      </c>
      <c r="G4" s="191">
        <f>('MMM 20262027 Bulk Purchases'!G4*$H$1)+'MMM 20262027 Bulk Purchases'!G4</f>
        <v>198965036.6426712</v>
      </c>
      <c r="H4" s="191">
        <f>('MMM 20262027 Bulk Purchases'!H4*$H$1)+'MMM 20262027 Bulk Purchases'!H4</f>
        <v>195236293.5025568</v>
      </c>
      <c r="I4" s="191">
        <f>('MMM 20262027 Bulk Purchases'!I4*$H$1)+'MMM 20262027 Bulk Purchases'!I4</f>
        <v>184682416.41167334</v>
      </c>
      <c r="J4" s="191">
        <f>('MMM 20262027 Bulk Purchases'!J4*$H$1)+'MMM 20262027 Bulk Purchases'!J4</f>
        <v>149283842.25866207</v>
      </c>
      <c r="K4" s="191">
        <f>('MMM 20262027 Bulk Purchases'!K4*$H$1)+'MMM 20262027 Bulk Purchases'!K4</f>
        <v>200281793.06588921</v>
      </c>
      <c r="L4" s="191">
        <f>('MMM 20262027 Bulk Purchases'!L4*$H$1)+'MMM 20262027 Bulk Purchases'!L4</f>
        <v>209527512.92498833</v>
      </c>
      <c r="M4" s="191">
        <f>('MMM 20262027 Bulk Purchases'!M4*$H$1)+'MMM 20262027 Bulk Purchases'!M4</f>
        <v>272240990.47783536</v>
      </c>
      <c r="N4" s="237">
        <f>SUM(B4:M4)</f>
        <v>2681348328.9080725</v>
      </c>
    </row>
    <row r="5" spans="1:14" ht="15" thickBot="1" x14ac:dyDescent="0.35">
      <c r="A5" s="3" t="s">
        <v>4</v>
      </c>
      <c r="B5" s="191">
        <f>('MMM 20262027 Bulk Purchases'!B5*$H$1)+'MMM 20262027 Bulk Purchases'!B5</f>
        <v>45425184.717316091</v>
      </c>
      <c r="C5" s="191">
        <f>('MMM 20262027 Bulk Purchases'!C5*$H$1)+'MMM 20262027 Bulk Purchases'!C5</f>
        <v>47425711.108930439</v>
      </c>
      <c r="D5" s="191">
        <f>('MMM 20262027 Bulk Purchases'!D5*$H$1)+'MMM 20262027 Bulk Purchases'!D5</f>
        <v>38931511.212121658</v>
      </c>
      <c r="E5" s="191">
        <f>('MMM 20262027 Bulk Purchases'!E5*$H$1)+'MMM 20262027 Bulk Purchases'!E5</f>
        <v>28326109.035440259</v>
      </c>
      <c r="F5" s="191">
        <f>('MMM 20262027 Bulk Purchases'!F5*$H$1)+'MMM 20262027 Bulk Purchases'!F5</f>
        <v>31003888.556370951</v>
      </c>
      <c r="G5" s="191">
        <f>('MMM 20262027 Bulk Purchases'!G5*$H$1)+'MMM 20262027 Bulk Purchases'!G5</f>
        <v>43750859.454431459</v>
      </c>
      <c r="H5" s="191">
        <f>('MMM 20262027 Bulk Purchases'!H5*$H$1)+'MMM 20262027 Bulk Purchases'!H5</f>
        <v>29992884.870839387</v>
      </c>
      <c r="I5" s="191">
        <f>('MMM 20262027 Bulk Purchases'!I5*$H$1)+'MMM 20262027 Bulk Purchases'!I5</f>
        <v>28018199.310517021</v>
      </c>
      <c r="J5" s="191">
        <f>('MMM 20262027 Bulk Purchases'!J5*$H$1)+'MMM 20262027 Bulk Purchases'!J5</f>
        <v>30403630.016686164</v>
      </c>
      <c r="K5" s="191">
        <f>('MMM 20262027 Bulk Purchases'!K5*$H$1)+'MMM 20262027 Bulk Purchases'!K5</f>
        <v>31699313.652338646</v>
      </c>
      <c r="L5" s="191">
        <f>('MMM 20262027 Bulk Purchases'!L5*$H$1)+'MMM 20262027 Bulk Purchases'!L5</f>
        <v>30621039.583390489</v>
      </c>
      <c r="M5" s="191">
        <f>('MMM 20262027 Bulk Purchases'!M5*$H$1)+'MMM 20262027 Bulk Purchases'!M5</f>
        <v>42820269.404358059</v>
      </c>
      <c r="N5" s="237">
        <f t="shared" ref="N5:N9" si="0">SUM(B5:M5)</f>
        <v>428418600.92274058</v>
      </c>
    </row>
    <row r="6" spans="1:14" ht="15" thickBot="1" x14ac:dyDescent="0.35">
      <c r="A6" s="3" t="s">
        <v>5</v>
      </c>
      <c r="B6" s="191">
        <f>('MMM 20262027 Bulk Purchases'!B6*$H$1)+'MMM 20262027 Bulk Purchases'!B6</f>
        <v>2315064.765440735</v>
      </c>
      <c r="C6" s="191">
        <f>('MMM 20262027 Bulk Purchases'!C6*$H$1)+'MMM 20262027 Bulk Purchases'!C6</f>
        <v>1986280.9684116847</v>
      </c>
      <c r="D6" s="191">
        <f>('MMM 20262027 Bulk Purchases'!D6*$H$1)+'MMM 20262027 Bulk Purchases'!D6</f>
        <v>44827356.287625998</v>
      </c>
      <c r="E6" s="191">
        <f>('MMM 20262027 Bulk Purchases'!E6*$H$1)+'MMM 20262027 Bulk Purchases'!E6</f>
        <v>625150.75419241504</v>
      </c>
      <c r="F6" s="191">
        <f>('MMM 20262027 Bulk Purchases'!F6*$H$1)+'MMM 20262027 Bulk Purchases'!F6</f>
        <v>2719727.6551063303</v>
      </c>
      <c r="G6" s="191">
        <f>('MMM 20262027 Bulk Purchases'!G6*$H$1)+'MMM 20262027 Bulk Purchases'!G6</f>
        <v>2616811.0379840001</v>
      </c>
      <c r="H6" s="191">
        <f>('MMM 20262027 Bulk Purchases'!H6*$H$1)+'MMM 20262027 Bulk Purchases'!H6</f>
        <v>1358447.0497099699</v>
      </c>
      <c r="I6" s="191">
        <f>('MMM 20262027 Bulk Purchases'!I6*$H$1)+'MMM 20262027 Bulk Purchases'!I6</f>
        <v>1240279.0676122</v>
      </c>
      <c r="J6" s="191">
        <f>('MMM 20262027 Bulk Purchases'!J6*$H$1)+'MMM 20262027 Bulk Purchases'!J6</f>
        <v>1736935.8874848159</v>
      </c>
      <c r="K6" s="191">
        <f>('MMM 20262027 Bulk Purchases'!K6*$H$1)+'MMM 20262027 Bulk Purchases'!K6</f>
        <v>2014999.9910494331</v>
      </c>
      <c r="L6" s="191">
        <f>('MMM 20262027 Bulk Purchases'!L6*$H$1)+'MMM 20262027 Bulk Purchases'!L6</f>
        <v>2131712.6214958304</v>
      </c>
      <c r="M6" s="191">
        <f>('MMM 20262027 Bulk Purchases'!M6*$H$1)+'MMM 20262027 Bulk Purchases'!M6</f>
        <v>4297742.089510873</v>
      </c>
      <c r="N6" s="237">
        <f t="shared" si="0"/>
        <v>67870508.175624281</v>
      </c>
    </row>
    <row r="7" spans="1:14" ht="15" thickBot="1" x14ac:dyDescent="0.35">
      <c r="A7" s="3" t="s">
        <v>6</v>
      </c>
      <c r="B7" s="191">
        <f>('MMM 20262027 Bulk Purchases'!B7*$H$1)+'MMM 20262027 Bulk Purchases'!B7</f>
        <v>3025026.7682703752</v>
      </c>
      <c r="C7" s="191">
        <f>('MMM 20262027 Bulk Purchases'!C7*$H$1)+'MMM 20262027 Bulk Purchases'!C7</f>
        <v>3068759.7183250696</v>
      </c>
      <c r="D7" s="191">
        <f>('MMM 20262027 Bulk Purchases'!D7*$H$1)+'MMM 20262027 Bulk Purchases'!D7</f>
        <v>2594223.3813300203</v>
      </c>
      <c r="E7" s="191">
        <f>('MMM 20262027 Bulk Purchases'!E7*$H$1)+'MMM 20262027 Bulk Purchases'!E7</f>
        <v>2191051.0183699499</v>
      </c>
      <c r="F7" s="191">
        <f>('MMM 20262027 Bulk Purchases'!F7*$H$1)+'MMM 20262027 Bulk Purchases'!F7</f>
        <v>2358635.6707678051</v>
      </c>
      <c r="G7" s="191">
        <f>('MMM 20262027 Bulk Purchases'!G7*$H$1)+'MMM 20262027 Bulk Purchases'!G7</f>
        <v>3668013.0138552999</v>
      </c>
      <c r="H7" s="191">
        <f>('MMM 20262027 Bulk Purchases'!H7*$H$1)+'MMM 20262027 Bulk Purchases'!H7</f>
        <v>2533901.2888212651</v>
      </c>
      <c r="I7" s="191">
        <f>('MMM 20262027 Bulk Purchases'!I7*$H$1)+'MMM 20262027 Bulk Purchases'!I7</f>
        <v>2280399.9294762947</v>
      </c>
      <c r="J7" s="191">
        <f>('MMM 20262027 Bulk Purchases'!J7*$H$1)+'MMM 20262027 Bulk Purchases'!J7</f>
        <v>2137538.7479237099</v>
      </c>
      <c r="K7" s="191">
        <f>('MMM 20262027 Bulk Purchases'!K7*$H$1)+'MMM 20262027 Bulk Purchases'!K7</f>
        <v>2315872.0477500446</v>
      </c>
      <c r="L7" s="191">
        <f>('MMM 20262027 Bulk Purchases'!L7*$H$1)+'MMM 20262027 Bulk Purchases'!L7</f>
        <v>2507794.3418883858</v>
      </c>
      <c r="M7" s="191">
        <f>('MMM 20262027 Bulk Purchases'!M7*$H$1)+'MMM 20262027 Bulk Purchases'!M7</f>
        <v>3346071.8586042896</v>
      </c>
      <c r="N7" s="237">
        <f t="shared" si="0"/>
        <v>32027287.785382509</v>
      </c>
    </row>
    <row r="8" spans="1:14" ht="15" thickBot="1" x14ac:dyDescent="0.35">
      <c r="A8" s="3" t="s">
        <v>63</v>
      </c>
      <c r="B8" s="191">
        <f>('MMM 20262027 Bulk Purchases'!B8*$H$1)+'MMM 20262027 Bulk Purchases'!B8</f>
        <v>438307.97730472498</v>
      </c>
      <c r="C8" s="191">
        <f>('MMM 20262027 Bulk Purchases'!C8*$H$1)+'MMM 20262027 Bulk Purchases'!C8</f>
        <v>509550.77947553998</v>
      </c>
      <c r="D8" s="191">
        <f>('MMM 20262027 Bulk Purchases'!D8*$H$1)+'MMM 20262027 Bulk Purchases'!D8</f>
        <v>568425.18887951504</v>
      </c>
      <c r="E8" s="191">
        <f>('MMM 20262027 Bulk Purchases'!E8*$H$1)+'MMM 20262027 Bulk Purchases'!E8</f>
        <v>587983.12744220509</v>
      </c>
      <c r="F8" s="191">
        <f>('MMM 20262027 Bulk Purchases'!F8*$H$1)+'MMM 20262027 Bulk Purchases'!F8</f>
        <v>646781.44132557989</v>
      </c>
      <c r="G8" s="191">
        <f>('MMM 20262027 Bulk Purchases'!G8*$H$1)+'MMM 20262027 Bulk Purchases'!G8</f>
        <v>654498.37032569409</v>
      </c>
      <c r="H8" s="191">
        <f>('MMM 20262027 Bulk Purchases'!H8*$H$1)+'MMM 20262027 Bulk Purchases'!H8</f>
        <v>666335.63206996501</v>
      </c>
      <c r="I8" s="191">
        <f>('MMM 20262027 Bulk Purchases'!I8*$H$1)+'MMM 20262027 Bulk Purchases'!I8</f>
        <v>568345.09492662002</v>
      </c>
      <c r="J8" s="191">
        <f>('MMM 20262027 Bulk Purchases'!J8*$H$1)+'MMM 20262027 Bulk Purchases'!J8</f>
        <v>610865.14901893272</v>
      </c>
      <c r="K8" s="191">
        <f>('MMM 20262027 Bulk Purchases'!K8*$H$1)+'MMM 20262027 Bulk Purchases'!K8</f>
        <v>727584.0185507331</v>
      </c>
      <c r="L8" s="191">
        <f>('MMM 20262027 Bulk Purchases'!L8*$H$1)+'MMM 20262027 Bulk Purchases'!L8</f>
        <v>838563.69037506729</v>
      </c>
      <c r="M8" s="191">
        <f>('MMM 20262027 Bulk Purchases'!M8*$H$1)+'MMM 20262027 Bulk Purchases'!M8</f>
        <v>838563.69037506729</v>
      </c>
      <c r="N8" s="237">
        <f t="shared" si="0"/>
        <v>7655804.1600696445</v>
      </c>
    </row>
    <row r="9" spans="1:14" ht="15" thickBot="1" x14ac:dyDescent="0.35">
      <c r="A9" s="4" t="s">
        <v>167</v>
      </c>
      <c r="B9" s="191">
        <f>('MMM 20262027 Bulk Purchases'!B9*$H$1)+'MMM 20262027 Bulk Purchases'!B9</f>
        <v>15009.271861099998</v>
      </c>
      <c r="C9" s="191">
        <f>('MMM 20262027 Bulk Purchases'!C9*$H$1)+'MMM 20262027 Bulk Purchases'!C9</f>
        <v>9224.1668652099997</v>
      </c>
      <c r="D9" s="191">
        <f>('MMM 20262027 Bulk Purchases'!D9*$H$1)+'MMM 20262027 Bulk Purchases'!D9</f>
        <v>9224.1668652099997</v>
      </c>
      <c r="E9" s="191">
        <f>('MMM 20262027 Bulk Purchases'!E9*$H$1)+'MMM 20262027 Bulk Purchases'!E9</f>
        <v>8926.745016805</v>
      </c>
      <c r="F9" s="191">
        <f>('MMM 20262027 Bulk Purchases'!F9*$H$1)+'MMM 20262027 Bulk Purchases'!F9</f>
        <v>9224.1668652099997</v>
      </c>
      <c r="G9" s="191">
        <f>('MMM 20262027 Bulk Purchases'!G9*$H$1)+'MMM 20262027 Bulk Purchases'!G9</f>
        <v>10219.844855935</v>
      </c>
      <c r="H9" s="191">
        <f>('MMM 20262027 Bulk Purchases'!H9*$H$1)+'MMM 20262027 Bulk Purchases'!H9</f>
        <v>9184.2394999850003</v>
      </c>
      <c r="I9" s="191">
        <f>('MMM 20262027 Bulk Purchases'!I9*$H$1)+'MMM 20262027 Bulk Purchases'!I9</f>
        <v>9184.2394999850003</v>
      </c>
      <c r="J9" s="191">
        <f>('MMM 20262027 Bulk Purchases'!J9*$H$1)+'MMM 20262027 Bulk Purchases'!J9</f>
        <v>10620.318274817639</v>
      </c>
      <c r="K9" s="191">
        <f>('MMM 20262027 Bulk Purchases'!K9*$H$1)+'MMM 20262027 Bulk Purchases'!K9</f>
        <v>11757.480357144192</v>
      </c>
      <c r="L9" s="191">
        <f>('MMM 20262027 Bulk Purchases'!L9*$H$1)+'MMM 20262027 Bulk Purchases'!L9</f>
        <v>11376.731293626843</v>
      </c>
      <c r="M9" s="191">
        <f>('MMM 20262027 Bulk Purchases'!M9*$H$1)+'MMM 20262027 Bulk Purchases'!M9</f>
        <v>10875.565345601644</v>
      </c>
      <c r="N9" s="237">
        <f t="shared" si="0"/>
        <v>124826.93660063032</v>
      </c>
    </row>
    <row r="10" spans="1:14" ht="15" thickBot="1" x14ac:dyDescent="0.35">
      <c r="A10" s="1" t="s">
        <v>7</v>
      </c>
      <c r="B10" s="155">
        <f t="shared" ref="B10:L10" si="1">SUM(B4:B9)</f>
        <v>370936292.18426728</v>
      </c>
      <c r="C10" s="155">
        <f t="shared" si="1"/>
        <v>391443813.73938042</v>
      </c>
      <c r="D10" s="155">
        <f t="shared" si="1"/>
        <v>301718241.89249456</v>
      </c>
      <c r="E10" s="155">
        <f t="shared" si="1"/>
        <v>225842448.611911</v>
      </c>
      <c r="F10" s="155">
        <f t="shared" si="1"/>
        <v>240815985.84566408</v>
      </c>
      <c r="G10" s="155">
        <f t="shared" si="1"/>
        <v>249665438.36412358</v>
      </c>
      <c r="H10" s="155">
        <f t="shared" si="1"/>
        <v>229797046.58349738</v>
      </c>
      <c r="I10" s="155">
        <f t="shared" si="1"/>
        <v>216798824.05370545</v>
      </c>
      <c r="J10" s="155">
        <f t="shared" si="1"/>
        <v>184183432.37805054</v>
      </c>
      <c r="K10" s="155">
        <f t="shared" si="1"/>
        <v>237051320.25593522</v>
      </c>
      <c r="L10" s="155">
        <f t="shared" si="1"/>
        <v>245637999.89343172</v>
      </c>
      <c r="M10" s="155">
        <f>SUM(M4:M9)</f>
        <v>323554513.08602929</v>
      </c>
      <c r="N10" s="155">
        <f>SUM(N4:N9)</f>
        <v>3217445356.8884897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3217445356.8884897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3217445356.8884897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193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46596</v>
      </c>
      <c r="C18" s="142">
        <f t="shared" si="2"/>
        <v>46628</v>
      </c>
      <c r="D18" s="142">
        <f t="shared" si="2"/>
        <v>46660</v>
      </c>
      <c r="E18" s="142">
        <f t="shared" si="2"/>
        <v>46661</v>
      </c>
      <c r="F18" s="142">
        <f t="shared" si="2"/>
        <v>46694</v>
      </c>
      <c r="G18" s="142">
        <f t="shared" si="2"/>
        <v>46725</v>
      </c>
      <c r="H18" s="142">
        <f t="shared" si="2"/>
        <v>46753</v>
      </c>
      <c r="I18" s="142">
        <f t="shared" si="2"/>
        <v>46784</v>
      </c>
      <c r="J18" s="142">
        <f t="shared" si="2"/>
        <v>46813</v>
      </c>
      <c r="K18" s="142">
        <f t="shared" si="2"/>
        <v>46844</v>
      </c>
      <c r="L18" s="142">
        <f t="shared" si="2"/>
        <v>46874</v>
      </c>
      <c r="M18" s="142">
        <f t="shared" si="2"/>
        <v>46905</v>
      </c>
      <c r="N18" s="236" t="s">
        <v>2</v>
      </c>
    </row>
    <row r="19" spans="1:14" ht="15" thickBot="1" x14ac:dyDescent="0.35">
      <c r="A19" s="2" t="s">
        <v>9</v>
      </c>
      <c r="B19" s="191">
        <f>('MMM 20262027 Bulk Purchases'!B19*$H$1)+'MMM 20262027 Bulk Purchases'!B19</f>
        <v>496270.34544136497</v>
      </c>
      <c r="C19" s="191">
        <f>('MMM 20262027 Bulk Purchases'!C19*$H$1)+'MMM 20262027 Bulk Purchases'!C19</f>
        <v>393683.05788498506</v>
      </c>
      <c r="D19" s="191">
        <f>('MMM 20262027 Bulk Purchases'!D19*$H$1)+'MMM 20262027 Bulk Purchases'!D19</f>
        <v>343858.20574445999</v>
      </c>
      <c r="E19" s="191">
        <f>('MMM 20262027 Bulk Purchases'!E19*$H$1)+'MMM 20262027 Bulk Purchases'!E19</f>
        <v>274116.79781309998</v>
      </c>
      <c r="F19" s="191">
        <f>('MMM 20262027 Bulk Purchases'!F19*$H$1)+'MMM 20262027 Bulk Purchases'!F19</f>
        <v>282103.31888023997</v>
      </c>
      <c r="G19" s="191">
        <f>('MMM 20262027 Bulk Purchases'!G19*$H$1)+'MMM 20262027 Bulk Purchases'!G19</f>
        <v>383451.20634062</v>
      </c>
      <c r="H19" s="191">
        <f>('MMM 20262027 Bulk Purchases'!H19*$H$1)+'MMM 20262027 Bulk Purchases'!H19</f>
        <v>265249.83562445501</v>
      </c>
      <c r="I19" s="191">
        <f>('MMM 20262027 Bulk Purchases'!I19*$H$1)+'MMM 20262027 Bulk Purchases'!I19</f>
        <v>252078.27058584502</v>
      </c>
      <c r="J19" s="191">
        <f>('MMM 20262027 Bulk Purchases'!J19*$H$1)+'MMM 20262027 Bulk Purchases'!J19</f>
        <v>484299.24005142262</v>
      </c>
      <c r="K19" s="191">
        <f>('MMM 20262027 Bulk Purchases'!K19*$H$1)+'MMM 20262027 Bulk Purchases'!K19</f>
        <v>550761.43970474659</v>
      </c>
      <c r="L19" s="191">
        <f>('MMM 20262027 Bulk Purchases'!L19*$H$1)+'MMM 20262027 Bulk Purchases'!L19</f>
        <v>542376.97123459168</v>
      </c>
      <c r="M19" s="191">
        <f>('MMM 20262027 Bulk Purchases'!M19*$H$1)+'MMM 20262027 Bulk Purchases'!M19</f>
        <v>625732.73736348771</v>
      </c>
      <c r="N19" s="163">
        <f>SUM(B19:M19)</f>
        <v>4893981.4266693182</v>
      </c>
    </row>
    <row r="20" spans="1:14" ht="15" thickBot="1" x14ac:dyDescent="0.35">
      <c r="A20" s="3" t="s">
        <v>10</v>
      </c>
      <c r="B20" s="191">
        <f>('MMM 20262027 Bulk Purchases'!B20*$H$1)+'MMM 20262027 Bulk Purchases'!B20</f>
        <v>2951670.982592145</v>
      </c>
      <c r="C20" s="191">
        <f>('MMM 20262027 Bulk Purchases'!C20*$H$1)+'MMM 20262027 Bulk Purchases'!C20</f>
        <v>3068628.73834066</v>
      </c>
      <c r="D20" s="191">
        <f>('MMM 20262027 Bulk Purchases'!D20*$H$1)+'MMM 20262027 Bulk Purchases'!D20</f>
        <v>2367932.9485688251</v>
      </c>
      <c r="E20" s="191">
        <f>('MMM 20262027 Bulk Purchases'!E20*$H$1)+'MMM 20262027 Bulk Purchases'!E20</f>
        <v>1844501.5715107848</v>
      </c>
      <c r="F20" s="191">
        <f>('MMM 20262027 Bulk Purchases'!F20*$H$1)+'MMM 20262027 Bulk Purchases'!F20</f>
        <v>1846823.6126520403</v>
      </c>
      <c r="G20" s="191">
        <f>('MMM 20262027 Bulk Purchases'!G20*$H$1)+'MMM 20262027 Bulk Purchases'!G20</f>
        <v>2646030.5217821747</v>
      </c>
      <c r="H20" s="191">
        <f>('MMM 20262027 Bulk Purchases'!H20*$H$1)+'MMM 20262027 Bulk Purchases'!H20</f>
        <v>1763155.665037195</v>
      </c>
      <c r="I20" s="191">
        <f>('MMM 20262027 Bulk Purchases'!I20*$H$1)+'MMM 20262027 Bulk Purchases'!I20</f>
        <v>1666048.15489607</v>
      </c>
      <c r="J20" s="191">
        <f>('MMM 20262027 Bulk Purchases'!J20*$H$1)+'MMM 20262027 Bulk Purchases'!J20</f>
        <v>1630682.5130699154</v>
      </c>
      <c r="K20" s="191">
        <f>('MMM 20262027 Bulk Purchases'!K20*$H$1)+'MMM 20262027 Bulk Purchases'!K20</f>
        <v>1847041.9098176612</v>
      </c>
      <c r="L20" s="191">
        <f>('MMM 20262027 Bulk Purchases'!L20*$H$1)+'MMM 20262027 Bulk Purchases'!L20</f>
        <v>1931352.5730400432</v>
      </c>
      <c r="M20" s="191">
        <f>('MMM 20262027 Bulk Purchases'!M20*$H$1)+'MMM 20262027 Bulk Purchases'!M20</f>
        <v>2861826.931566657</v>
      </c>
      <c r="N20" s="163">
        <f t="shared" ref="N20:N22" si="3">SUM(B20:M20)</f>
        <v>26425696.122874171</v>
      </c>
    </row>
    <row r="21" spans="1:14" ht="15" thickBot="1" x14ac:dyDescent="0.35">
      <c r="A21" s="3" t="s">
        <v>11</v>
      </c>
      <c r="B21" s="191">
        <f>('MMM 20262027 Bulk Purchases'!B21*$H$1)+'MMM 20262027 Bulk Purchases'!B21</f>
        <v>1066682.1172449752</v>
      </c>
      <c r="C21" s="191">
        <f>('MMM 20262027 Bulk Purchases'!C21*$H$1)+'MMM 20262027 Bulk Purchases'!C21</f>
        <v>1061360.4089081401</v>
      </c>
      <c r="D21" s="191">
        <f>('MMM 20262027 Bulk Purchases'!D21*$H$1)+'MMM 20262027 Bulk Purchases'!D21</f>
        <v>806711.85263239988</v>
      </c>
      <c r="E21" s="191">
        <f>('MMM 20262027 Bulk Purchases'!E21*$H$1)+'MMM 20262027 Bulk Purchases'!E21</f>
        <v>650135.70453392004</v>
      </c>
      <c r="F21" s="191">
        <f>('MMM 20262027 Bulk Purchases'!F21*$H$1)+'MMM 20262027 Bulk Purchases'!F21</f>
        <v>630715.67201500002</v>
      </c>
      <c r="G21" s="191">
        <f>('MMM 20262027 Bulk Purchases'!G21*$H$1)+'MMM 20262027 Bulk Purchases'!G21</f>
        <v>956922.47373414994</v>
      </c>
      <c r="H21" s="191">
        <f>('MMM 20262027 Bulk Purchases'!H21*$H$1)+'MMM 20262027 Bulk Purchases'!H21</f>
        <v>646322.10005654499</v>
      </c>
      <c r="I21" s="191">
        <f>('MMM 20262027 Bulk Purchases'!I21*$H$1)+'MMM 20262027 Bulk Purchases'!I21</f>
        <v>604465.28050562495</v>
      </c>
      <c r="J21" s="191">
        <f>('MMM 20262027 Bulk Purchases'!J21*$H$1)+'MMM 20262027 Bulk Purchases'!J21</f>
        <v>567854.25111906917</v>
      </c>
      <c r="K21" s="191">
        <f>('MMM 20262027 Bulk Purchases'!K21*$H$1)+'MMM 20262027 Bulk Purchases'!K21</f>
        <v>612763.55560693599</v>
      </c>
      <c r="L21" s="191">
        <f>('MMM 20262027 Bulk Purchases'!L21*$H$1)+'MMM 20262027 Bulk Purchases'!L21</f>
        <v>675336.39565076272</v>
      </c>
      <c r="M21" s="191">
        <f>('MMM 20262027 Bulk Purchases'!M21*$H$1)+'MMM 20262027 Bulk Purchases'!M21</f>
        <v>977709.25673662906</v>
      </c>
      <c r="N21" s="163">
        <f t="shared" si="3"/>
        <v>9256979.0687441509</v>
      </c>
    </row>
    <row r="22" spans="1:14" ht="15" thickBot="1" x14ac:dyDescent="0.35">
      <c r="A22" s="3" t="s">
        <v>12</v>
      </c>
      <c r="B22" s="191">
        <f>('MMM 20262027 Bulk Purchases'!B22*$H$1)+'MMM 20262027 Bulk Purchases'!B22</f>
        <v>188782.25577321</v>
      </c>
      <c r="C22" s="191">
        <f>('MMM 20262027 Bulk Purchases'!C22*$H$1)+'MMM 20262027 Bulk Purchases'!C22</f>
        <v>190119.83959556499</v>
      </c>
      <c r="D22" s="191">
        <f>('MMM 20262027 Bulk Purchases'!D22*$H$1)+'MMM 20262027 Bulk Purchases'!D22</f>
        <v>136488.10398921501</v>
      </c>
      <c r="E22" s="191">
        <f>('MMM 20262027 Bulk Purchases'!E22*$H$1)+'MMM 20262027 Bulk Purchases'!E22</f>
        <v>186101.25565745999</v>
      </c>
      <c r="F22" s="191">
        <f>('MMM 20262027 Bulk Purchases'!F22*$H$1)+'MMM 20262027 Bulk Purchases'!F22</f>
        <v>193420.790373305</v>
      </c>
      <c r="G22" s="191">
        <f>('MMM 20262027 Bulk Purchases'!G22*$H$1)+'MMM 20262027 Bulk Purchases'!G22</f>
        <v>301540.57541519997</v>
      </c>
      <c r="H22" s="191">
        <f>('MMM 20262027 Bulk Purchases'!H22*$H$1)+'MMM 20262027 Bulk Purchases'!H22</f>
        <v>186305.5288424</v>
      </c>
      <c r="I22" s="191">
        <f>('MMM 20262027 Bulk Purchases'!I22*$H$1)+'MMM 20262027 Bulk Purchases'!I22</f>
        <v>172956.08482861501</v>
      </c>
      <c r="J22" s="191">
        <f>('MMM 20262027 Bulk Purchases'!J22*$H$1)+'MMM 20262027 Bulk Purchases'!J22</f>
        <v>122399.93722404102</v>
      </c>
      <c r="K22" s="191">
        <f>('MMM 20262027 Bulk Purchases'!K22*$H$1)+'MMM 20262027 Bulk Purchases'!K22</f>
        <v>142209.60402931366</v>
      </c>
      <c r="L22" s="191">
        <f>('MMM 20262027 Bulk Purchases'!L22*$H$1)+'MMM 20262027 Bulk Purchases'!L22</f>
        <v>154993.85777276714</v>
      </c>
      <c r="M22" s="191">
        <f>('MMM 20262027 Bulk Purchases'!M22*$H$1)+'MMM 20262027 Bulk Purchases'!M22</f>
        <v>209775.98230737186</v>
      </c>
      <c r="N22" s="163">
        <f t="shared" si="3"/>
        <v>2185093.8158084634</v>
      </c>
    </row>
    <row r="23" spans="1:14" ht="15" thickBot="1" x14ac:dyDescent="0.35">
      <c r="A23" s="1" t="s">
        <v>7</v>
      </c>
      <c r="B23" s="155">
        <f t="shared" ref="B23:M23" si="4">SUM(B19:B22)</f>
        <v>4703405.7010516953</v>
      </c>
      <c r="C23" s="155">
        <f t="shared" si="4"/>
        <v>4713792.0447293501</v>
      </c>
      <c r="D23" s="155">
        <f t="shared" si="4"/>
        <v>3654991.1109348997</v>
      </c>
      <c r="E23" s="155">
        <f t="shared" si="4"/>
        <v>2954855.3295152648</v>
      </c>
      <c r="F23" s="155">
        <f t="shared" si="4"/>
        <v>2953063.3939205855</v>
      </c>
      <c r="G23" s="155">
        <f t="shared" si="4"/>
        <v>4287944.7772721443</v>
      </c>
      <c r="H23" s="155">
        <f t="shared" si="4"/>
        <v>2861033.1295605949</v>
      </c>
      <c r="I23" s="155">
        <f t="shared" si="4"/>
        <v>2695547.7908161553</v>
      </c>
      <c r="J23" s="155">
        <f t="shared" si="4"/>
        <v>2805235.9414644483</v>
      </c>
      <c r="K23" s="155">
        <f t="shared" si="4"/>
        <v>3152776.5091586574</v>
      </c>
      <c r="L23" s="155">
        <f t="shared" si="4"/>
        <v>3304059.7976981644</v>
      </c>
      <c r="M23" s="155">
        <f t="shared" si="4"/>
        <v>4675044.9079741454</v>
      </c>
      <c r="N23" s="155">
        <f>SUM(N19:N22)</f>
        <v>42761750.434096098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42761750.434096098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42761750.434096098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3260207107.3225861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3260207107.3225861</v>
      </c>
    </row>
  </sheetData>
  <mergeCells count="2">
    <mergeCell ref="A2:N2"/>
    <mergeCell ref="A17:N17"/>
  </mergeCells>
  <pageMargins left="0.7" right="0.7" top="0.75" bottom="0.75" header="0.3" footer="0.3"/>
  <pageSetup paperSize="9" scale="5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E394-80A3-4218-86CC-6256E3D3DA7A}">
  <dimension ref="A1:N33"/>
  <sheetViews>
    <sheetView workbookViewId="0">
      <selection activeCell="G36" sqref="G36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226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46962</v>
      </c>
      <c r="C3" s="142">
        <v>46994</v>
      </c>
      <c r="D3" s="142">
        <v>47026</v>
      </c>
      <c r="E3" s="142">
        <v>47027</v>
      </c>
      <c r="F3" s="142">
        <v>47060</v>
      </c>
      <c r="G3" s="142">
        <v>47091</v>
      </c>
      <c r="H3" s="142">
        <v>47122</v>
      </c>
      <c r="I3" s="142">
        <v>47153</v>
      </c>
      <c r="J3" s="142">
        <v>47184</v>
      </c>
      <c r="K3" s="142">
        <v>47215</v>
      </c>
      <c r="L3" s="142">
        <v>47246</v>
      </c>
      <c r="M3" s="142">
        <v>47277</v>
      </c>
      <c r="N3" s="236" t="s">
        <v>2</v>
      </c>
    </row>
    <row r="4" spans="1:14" ht="15" thickBot="1" x14ac:dyDescent="0.35">
      <c r="A4" s="2" t="s">
        <v>3</v>
      </c>
      <c r="B4" s="191">
        <f>('MMM 20272028 Bulk Purchases'!B4*$H$1)+'MMM 20272028 Bulk Purchases'!B4</f>
        <v>334104995.1248576</v>
      </c>
      <c r="C4" s="191">
        <f>('MMM 20272028 Bulk Purchases'!C4*$H$1)+'MMM 20272028 Bulk Purchases'!C4</f>
        <v>353674279.91225415</v>
      </c>
      <c r="D4" s="191">
        <f>('MMM 20272028 Bulk Purchases'!D4*$H$1)+'MMM 20272028 Bulk Purchases'!D4</f>
        <v>224452939.23017743</v>
      </c>
      <c r="E4" s="191">
        <f>('MMM 20272028 Bulk Purchases'!E4*$H$1)+'MMM 20272028 Bulk Purchases'!E4</f>
        <v>202837873.18836457</v>
      </c>
      <c r="F4" s="191">
        <f>('MMM 20272028 Bulk Purchases'!F4*$H$1)+'MMM 20272028 Bulk Purchases'!F4</f>
        <v>213261226.13121349</v>
      </c>
      <c r="G4" s="191">
        <f>('MMM 20272028 Bulk Purchases'!G4*$H$1)+'MMM 20272028 Bulk Purchases'!G4</f>
        <v>207918463.29159141</v>
      </c>
      <c r="H4" s="191">
        <f>('MMM 20272028 Bulk Purchases'!H4*$H$1)+'MMM 20272028 Bulk Purchases'!H4</f>
        <v>204021926.71017185</v>
      </c>
      <c r="I4" s="191">
        <f>('MMM 20272028 Bulk Purchases'!I4*$H$1)+'MMM 20272028 Bulk Purchases'!I4</f>
        <v>192993125.15019864</v>
      </c>
      <c r="J4" s="191">
        <f>('MMM 20272028 Bulk Purchases'!J4*$H$1)+'MMM 20272028 Bulk Purchases'!J4</f>
        <v>156001615.16030186</v>
      </c>
      <c r="K4" s="191">
        <f>('MMM 20272028 Bulk Purchases'!K4*$H$1)+'MMM 20272028 Bulk Purchases'!K4</f>
        <v>209294473.75385422</v>
      </c>
      <c r="L4" s="191">
        <f>('MMM 20272028 Bulk Purchases'!L4*$H$1)+'MMM 20272028 Bulk Purchases'!L4</f>
        <v>218956251.00661281</v>
      </c>
      <c r="M4" s="191">
        <f>('MMM 20272028 Bulk Purchases'!M4*$H$1)+'MMM 20272028 Bulk Purchases'!M4</f>
        <v>284491835.04933792</v>
      </c>
      <c r="N4" s="237">
        <f>SUM(B4:M4)</f>
        <v>2802009003.7089357</v>
      </c>
    </row>
    <row r="5" spans="1:14" ht="15" thickBot="1" x14ac:dyDescent="0.35">
      <c r="A5" s="3" t="s">
        <v>4</v>
      </c>
      <c r="B5" s="191">
        <f>('MMM 20272028 Bulk Purchases'!B5*$H$1)+'MMM 20272028 Bulk Purchases'!B5</f>
        <v>47469318.029595315</v>
      </c>
      <c r="C5" s="191">
        <f>('MMM 20272028 Bulk Purchases'!C5*$H$1)+'MMM 20272028 Bulk Purchases'!C5</f>
        <v>49559868.108832307</v>
      </c>
      <c r="D5" s="191">
        <f>('MMM 20272028 Bulk Purchases'!D5*$H$1)+'MMM 20272028 Bulk Purchases'!D5</f>
        <v>40683429.216667131</v>
      </c>
      <c r="E5" s="191">
        <f>('MMM 20272028 Bulk Purchases'!E5*$H$1)+'MMM 20272028 Bulk Purchases'!E5</f>
        <v>29600783.942035072</v>
      </c>
      <c r="F5" s="191">
        <f>('MMM 20272028 Bulk Purchases'!F5*$H$1)+'MMM 20272028 Bulk Purchases'!F5</f>
        <v>32399063.541407645</v>
      </c>
      <c r="G5" s="191">
        <f>('MMM 20272028 Bulk Purchases'!G5*$H$1)+'MMM 20272028 Bulk Purchases'!G5</f>
        <v>45719648.129880875</v>
      </c>
      <c r="H5" s="191">
        <f>('MMM 20272028 Bulk Purchases'!H5*$H$1)+'MMM 20272028 Bulk Purchases'!H5</f>
        <v>31342564.690027159</v>
      </c>
      <c r="I5" s="191">
        <f>('MMM 20272028 Bulk Purchases'!I5*$H$1)+'MMM 20272028 Bulk Purchases'!I5</f>
        <v>29279018.279490285</v>
      </c>
      <c r="J5" s="191">
        <f>('MMM 20272028 Bulk Purchases'!J5*$H$1)+'MMM 20272028 Bulk Purchases'!J5</f>
        <v>31771793.367437042</v>
      </c>
      <c r="K5" s="191">
        <f>('MMM 20272028 Bulk Purchases'!K5*$H$1)+'MMM 20272028 Bulk Purchases'!K5</f>
        <v>33125782.766693886</v>
      </c>
      <c r="L5" s="191">
        <f>('MMM 20272028 Bulk Purchases'!L5*$H$1)+'MMM 20272028 Bulk Purchases'!L5</f>
        <v>31998986.36464306</v>
      </c>
      <c r="M5" s="191">
        <f>('MMM 20272028 Bulk Purchases'!M5*$H$1)+'MMM 20272028 Bulk Purchases'!M5</f>
        <v>44747181.527554169</v>
      </c>
      <c r="N5" s="237">
        <f t="shared" ref="N5:N9" si="0">SUM(B5:M5)</f>
        <v>447697437.96426392</v>
      </c>
    </row>
    <row r="6" spans="1:14" ht="15" thickBot="1" x14ac:dyDescent="0.35">
      <c r="A6" s="3" t="s">
        <v>5</v>
      </c>
      <c r="B6" s="191">
        <f>('MMM 20272028 Bulk Purchases'!B6*$H$1)+'MMM 20272028 Bulk Purchases'!B6</f>
        <v>2419242.6798855681</v>
      </c>
      <c r="C6" s="191">
        <f>('MMM 20272028 Bulk Purchases'!C6*$H$1)+'MMM 20272028 Bulk Purchases'!C6</f>
        <v>2075663.6119902106</v>
      </c>
      <c r="D6" s="191">
        <f>('MMM 20272028 Bulk Purchases'!D6*$H$1)+'MMM 20272028 Bulk Purchases'!D6</f>
        <v>46844587.320569165</v>
      </c>
      <c r="E6" s="191">
        <f>('MMM 20272028 Bulk Purchases'!E6*$H$1)+'MMM 20272028 Bulk Purchases'!E6</f>
        <v>653282.5381310737</v>
      </c>
      <c r="F6" s="191">
        <f>('MMM 20272028 Bulk Purchases'!F6*$H$1)+'MMM 20272028 Bulk Purchases'!F6</f>
        <v>2842115.399586115</v>
      </c>
      <c r="G6" s="191">
        <f>('MMM 20272028 Bulk Purchases'!G6*$H$1)+'MMM 20272028 Bulk Purchases'!G6</f>
        <v>2734567.5346932802</v>
      </c>
      <c r="H6" s="191">
        <f>('MMM 20272028 Bulk Purchases'!H6*$H$1)+'MMM 20272028 Bulk Purchases'!H6</f>
        <v>1419577.1669469185</v>
      </c>
      <c r="I6" s="191">
        <f>('MMM 20272028 Bulk Purchases'!I6*$H$1)+'MMM 20272028 Bulk Purchases'!I6</f>
        <v>1296091.6256547491</v>
      </c>
      <c r="J6" s="191">
        <f>('MMM 20272028 Bulk Purchases'!J6*$H$1)+'MMM 20272028 Bulk Purchases'!J6</f>
        <v>1815098.0024216326</v>
      </c>
      <c r="K6" s="191">
        <f>('MMM 20272028 Bulk Purchases'!K6*$H$1)+'MMM 20272028 Bulk Purchases'!K6</f>
        <v>2105674.9906466575</v>
      </c>
      <c r="L6" s="191">
        <f>('MMM 20272028 Bulk Purchases'!L6*$H$1)+'MMM 20272028 Bulk Purchases'!L6</f>
        <v>2227639.6894631428</v>
      </c>
      <c r="M6" s="191">
        <f>('MMM 20272028 Bulk Purchases'!M6*$H$1)+'MMM 20272028 Bulk Purchases'!M6</f>
        <v>4491140.4835388623</v>
      </c>
      <c r="N6" s="237">
        <f t="shared" si="0"/>
        <v>70924681.04352738</v>
      </c>
    </row>
    <row r="7" spans="1:14" ht="15" thickBot="1" x14ac:dyDescent="0.35">
      <c r="A7" s="3" t="s">
        <v>6</v>
      </c>
      <c r="B7" s="191">
        <f>('MMM 20272028 Bulk Purchases'!B7*$H$1)+'MMM 20272028 Bulk Purchases'!B7</f>
        <v>3161152.972842542</v>
      </c>
      <c r="C7" s="191">
        <f>('MMM 20272028 Bulk Purchases'!C7*$H$1)+'MMM 20272028 Bulk Purchases'!C7</f>
        <v>3206853.9056496979</v>
      </c>
      <c r="D7" s="191">
        <f>('MMM 20272028 Bulk Purchases'!D7*$H$1)+'MMM 20272028 Bulk Purchases'!D7</f>
        <v>2710963.4334898712</v>
      </c>
      <c r="E7" s="191">
        <f>('MMM 20272028 Bulk Purchases'!E7*$H$1)+'MMM 20272028 Bulk Purchases'!E7</f>
        <v>2289648.3141965978</v>
      </c>
      <c r="F7" s="191">
        <f>('MMM 20272028 Bulk Purchases'!F7*$H$1)+'MMM 20272028 Bulk Purchases'!F7</f>
        <v>2464774.2759523564</v>
      </c>
      <c r="G7" s="191">
        <f>('MMM 20272028 Bulk Purchases'!G7*$H$1)+'MMM 20272028 Bulk Purchases'!G7</f>
        <v>3833073.5994787882</v>
      </c>
      <c r="H7" s="191">
        <f>('MMM 20272028 Bulk Purchases'!H7*$H$1)+'MMM 20272028 Bulk Purchases'!H7</f>
        <v>2647926.8468182222</v>
      </c>
      <c r="I7" s="191">
        <f>('MMM 20272028 Bulk Purchases'!I7*$H$1)+'MMM 20272028 Bulk Purchases'!I7</f>
        <v>2383017.9263027278</v>
      </c>
      <c r="J7" s="191">
        <f>('MMM 20272028 Bulk Purchases'!J7*$H$1)+'MMM 20272028 Bulk Purchases'!J7</f>
        <v>2233727.9915802768</v>
      </c>
      <c r="K7" s="191">
        <f>('MMM 20272028 Bulk Purchases'!K7*$H$1)+'MMM 20272028 Bulk Purchases'!K7</f>
        <v>2420086.2898987965</v>
      </c>
      <c r="L7" s="191">
        <f>('MMM 20272028 Bulk Purchases'!L7*$H$1)+'MMM 20272028 Bulk Purchases'!L7</f>
        <v>2620645.087273363</v>
      </c>
      <c r="M7" s="191">
        <f>('MMM 20272028 Bulk Purchases'!M7*$H$1)+'MMM 20272028 Bulk Purchases'!M7</f>
        <v>3496645.0922414828</v>
      </c>
      <c r="N7" s="237">
        <f t="shared" si="0"/>
        <v>33468515.735724725</v>
      </c>
    </row>
    <row r="8" spans="1:14" ht="15" thickBot="1" x14ac:dyDescent="0.35">
      <c r="A8" s="3" t="s">
        <v>63</v>
      </c>
      <c r="B8" s="191">
        <f>('MMM 20272028 Bulk Purchases'!B8*$H$1)+'MMM 20272028 Bulk Purchases'!B8</f>
        <v>458031.83628343762</v>
      </c>
      <c r="C8" s="191">
        <f>('MMM 20272028 Bulk Purchases'!C8*$H$1)+'MMM 20272028 Bulk Purchases'!C8</f>
        <v>532480.56455193926</v>
      </c>
      <c r="D8" s="191">
        <f>('MMM 20272028 Bulk Purchases'!D8*$H$1)+'MMM 20272028 Bulk Purchases'!D8</f>
        <v>594004.32237909327</v>
      </c>
      <c r="E8" s="191">
        <f>('MMM 20272028 Bulk Purchases'!E8*$H$1)+'MMM 20272028 Bulk Purchases'!E8</f>
        <v>614442.36817710428</v>
      </c>
      <c r="F8" s="191">
        <f>('MMM 20272028 Bulk Purchases'!F8*$H$1)+'MMM 20272028 Bulk Purchases'!F8</f>
        <v>675886.60618523101</v>
      </c>
      <c r="G8" s="191">
        <f>('MMM 20272028 Bulk Purchases'!G8*$H$1)+'MMM 20272028 Bulk Purchases'!G8</f>
        <v>683950.79699035035</v>
      </c>
      <c r="H8" s="191">
        <f>('MMM 20272028 Bulk Purchases'!H8*$H$1)+'MMM 20272028 Bulk Purchases'!H8</f>
        <v>696320.73551311344</v>
      </c>
      <c r="I8" s="191">
        <f>('MMM 20272028 Bulk Purchases'!I8*$H$1)+'MMM 20272028 Bulk Purchases'!I8</f>
        <v>593920.62419831788</v>
      </c>
      <c r="J8" s="191">
        <f>('MMM 20272028 Bulk Purchases'!J8*$H$1)+'MMM 20272028 Bulk Purchases'!J8</f>
        <v>638354.08072478464</v>
      </c>
      <c r="K8" s="191">
        <f>('MMM 20272028 Bulk Purchases'!K8*$H$1)+'MMM 20272028 Bulk Purchases'!K8</f>
        <v>760325.29938551609</v>
      </c>
      <c r="L8" s="191">
        <f>('MMM 20272028 Bulk Purchases'!L8*$H$1)+'MMM 20272028 Bulk Purchases'!L8</f>
        <v>876299.05644194537</v>
      </c>
      <c r="M8" s="191">
        <f>('MMM 20272028 Bulk Purchases'!M8*$H$1)+'MMM 20272028 Bulk Purchases'!M8</f>
        <v>876299.05644194537</v>
      </c>
      <c r="N8" s="237">
        <f t="shared" si="0"/>
        <v>8000315.3472727779</v>
      </c>
    </row>
    <row r="9" spans="1:14" ht="15" thickBot="1" x14ac:dyDescent="0.35">
      <c r="A9" s="4" t="s">
        <v>167</v>
      </c>
      <c r="B9" s="191">
        <f>('MMM 20272028 Bulk Purchases'!B9*$H$1)+'MMM 20272028 Bulk Purchases'!B9</f>
        <v>15684.689094849498</v>
      </c>
      <c r="C9" s="191">
        <f>('MMM 20272028 Bulk Purchases'!C9*$H$1)+'MMM 20272028 Bulk Purchases'!C9</f>
        <v>9639.2543741444497</v>
      </c>
      <c r="D9" s="191">
        <f>('MMM 20272028 Bulk Purchases'!D9*$H$1)+'MMM 20272028 Bulk Purchases'!D9</f>
        <v>9639.2543741444497</v>
      </c>
      <c r="E9" s="191">
        <f>('MMM 20272028 Bulk Purchases'!E9*$H$1)+'MMM 20272028 Bulk Purchases'!E9</f>
        <v>9328.4485425612256</v>
      </c>
      <c r="F9" s="191">
        <f>('MMM 20272028 Bulk Purchases'!F9*$H$1)+'MMM 20272028 Bulk Purchases'!F9</f>
        <v>9639.2543741444497</v>
      </c>
      <c r="G9" s="191">
        <f>('MMM 20272028 Bulk Purchases'!G9*$H$1)+'MMM 20272028 Bulk Purchases'!G9</f>
        <v>10679.737874452076</v>
      </c>
      <c r="H9" s="191">
        <f>('MMM 20272028 Bulk Purchases'!H9*$H$1)+'MMM 20272028 Bulk Purchases'!H9</f>
        <v>9597.5302774843258</v>
      </c>
      <c r="I9" s="191">
        <f>('MMM 20272028 Bulk Purchases'!I9*$H$1)+'MMM 20272028 Bulk Purchases'!I9</f>
        <v>9597.5302774843258</v>
      </c>
      <c r="J9" s="191">
        <f>('MMM 20272028 Bulk Purchases'!J9*$H$1)+'MMM 20272028 Bulk Purchases'!J9</f>
        <v>11098.232597184433</v>
      </c>
      <c r="K9" s="191">
        <f>('MMM 20272028 Bulk Purchases'!K9*$H$1)+'MMM 20272028 Bulk Purchases'!K9</f>
        <v>12286.56697321568</v>
      </c>
      <c r="L9" s="191">
        <f>('MMM 20272028 Bulk Purchases'!L9*$H$1)+'MMM 20272028 Bulk Purchases'!L9</f>
        <v>11888.684201840051</v>
      </c>
      <c r="M9" s="191">
        <f>('MMM 20272028 Bulk Purchases'!M9*$H$1)+'MMM 20272028 Bulk Purchases'!M9</f>
        <v>11364.965786153718</v>
      </c>
      <c r="N9" s="237">
        <f t="shared" si="0"/>
        <v>130444.14874765869</v>
      </c>
    </row>
    <row r="10" spans="1:14" ht="15" thickBot="1" x14ac:dyDescent="0.35">
      <c r="A10" s="1" t="s">
        <v>7</v>
      </c>
      <c r="B10" s="155">
        <f t="shared" ref="B10:L10" si="1">SUM(B4:B9)</f>
        <v>387628425.33255929</v>
      </c>
      <c r="C10" s="155">
        <f t="shared" si="1"/>
        <v>409058785.35765249</v>
      </c>
      <c r="D10" s="155">
        <f t="shared" si="1"/>
        <v>315295562.77765685</v>
      </c>
      <c r="E10" s="155">
        <f t="shared" si="1"/>
        <v>236005358.799447</v>
      </c>
      <c r="F10" s="155">
        <f t="shared" si="1"/>
        <v>251652705.20871899</v>
      </c>
      <c r="G10" s="155">
        <f t="shared" si="1"/>
        <v>260900383.09050915</v>
      </c>
      <c r="H10" s="155">
        <f t="shared" si="1"/>
        <v>240137913.67975473</v>
      </c>
      <c r="I10" s="155">
        <f t="shared" si="1"/>
        <v>226554771.13612223</v>
      </c>
      <c r="J10" s="155">
        <f t="shared" si="1"/>
        <v>192471686.83506277</v>
      </c>
      <c r="K10" s="155">
        <f t="shared" si="1"/>
        <v>247718629.66745228</v>
      </c>
      <c r="L10" s="155">
        <f t="shared" si="1"/>
        <v>256691709.88863614</v>
      </c>
      <c r="M10" s="155">
        <f>SUM(M4:M9)</f>
        <v>338114466.17490053</v>
      </c>
      <c r="N10" s="155">
        <f>SUM(N4:N9)</f>
        <v>3362230397.9484725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3362230397.9484725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3362230397.9484725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227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46962</v>
      </c>
      <c r="C18" s="142">
        <f t="shared" si="2"/>
        <v>46994</v>
      </c>
      <c r="D18" s="142">
        <f t="shared" si="2"/>
        <v>47026</v>
      </c>
      <c r="E18" s="142">
        <f t="shared" si="2"/>
        <v>47027</v>
      </c>
      <c r="F18" s="142">
        <f t="shared" si="2"/>
        <v>47060</v>
      </c>
      <c r="G18" s="142">
        <f t="shared" si="2"/>
        <v>47091</v>
      </c>
      <c r="H18" s="142">
        <f t="shared" si="2"/>
        <v>47122</v>
      </c>
      <c r="I18" s="142">
        <f t="shared" si="2"/>
        <v>47153</v>
      </c>
      <c r="J18" s="142">
        <f t="shared" si="2"/>
        <v>47184</v>
      </c>
      <c r="K18" s="142">
        <f t="shared" si="2"/>
        <v>47215</v>
      </c>
      <c r="L18" s="142">
        <f t="shared" si="2"/>
        <v>47246</v>
      </c>
      <c r="M18" s="142">
        <f t="shared" si="2"/>
        <v>47277</v>
      </c>
      <c r="N18" s="236" t="s">
        <v>2</v>
      </c>
    </row>
    <row r="19" spans="1:14" ht="15" thickBot="1" x14ac:dyDescent="0.35">
      <c r="A19" s="2" t="s">
        <v>9</v>
      </c>
      <c r="B19" s="191">
        <f>('MMM 20272028 Bulk Purchases'!B19*$H$1)+'MMM 20272028 Bulk Purchases'!B19</f>
        <v>518602.51098622638</v>
      </c>
      <c r="C19" s="191">
        <f>('MMM 20272028 Bulk Purchases'!C19*$H$1)+'MMM 20272028 Bulk Purchases'!C19</f>
        <v>411398.79548980936</v>
      </c>
      <c r="D19" s="191">
        <f>('MMM 20272028 Bulk Purchases'!D19*$H$1)+'MMM 20272028 Bulk Purchases'!D19</f>
        <v>359331.82500296069</v>
      </c>
      <c r="E19" s="191">
        <f>('MMM 20272028 Bulk Purchases'!E19*$H$1)+'MMM 20272028 Bulk Purchases'!E19</f>
        <v>286452.05371468951</v>
      </c>
      <c r="F19" s="191">
        <f>('MMM 20272028 Bulk Purchases'!F19*$H$1)+'MMM 20272028 Bulk Purchases'!F19</f>
        <v>294797.96822985075</v>
      </c>
      <c r="G19" s="191">
        <f>('MMM 20272028 Bulk Purchases'!G19*$H$1)+'MMM 20272028 Bulk Purchases'!G19</f>
        <v>400706.51062594791</v>
      </c>
      <c r="H19" s="191">
        <f>('MMM 20272028 Bulk Purchases'!H19*$H$1)+'MMM 20272028 Bulk Purchases'!H19</f>
        <v>277186.0782275555</v>
      </c>
      <c r="I19" s="191">
        <f>('MMM 20272028 Bulk Purchases'!I19*$H$1)+'MMM 20272028 Bulk Purchases'!I19</f>
        <v>263421.79276220803</v>
      </c>
      <c r="J19" s="191">
        <f>('MMM 20272028 Bulk Purchases'!J19*$H$1)+'MMM 20272028 Bulk Purchases'!J19</f>
        <v>506092.70585373661</v>
      </c>
      <c r="K19" s="191">
        <f>('MMM 20272028 Bulk Purchases'!K19*$H$1)+'MMM 20272028 Bulk Purchases'!K19</f>
        <v>575545.70449146023</v>
      </c>
      <c r="L19" s="191">
        <f>('MMM 20272028 Bulk Purchases'!L19*$H$1)+'MMM 20272028 Bulk Purchases'!L19</f>
        <v>566783.93494014826</v>
      </c>
      <c r="M19" s="191">
        <f>('MMM 20272028 Bulk Purchases'!M19*$H$1)+'MMM 20272028 Bulk Purchases'!M19</f>
        <v>653890.71054484462</v>
      </c>
      <c r="N19" s="163">
        <f>SUM(B19:M19)</f>
        <v>5114210.5908694379</v>
      </c>
    </row>
    <row r="20" spans="1:14" ht="15" thickBot="1" x14ac:dyDescent="0.35">
      <c r="A20" s="3" t="s">
        <v>10</v>
      </c>
      <c r="B20" s="191">
        <f>('MMM 20272028 Bulk Purchases'!B20*$H$1)+'MMM 20272028 Bulk Purchases'!B20</f>
        <v>3084496.1768087917</v>
      </c>
      <c r="C20" s="191">
        <f>('MMM 20272028 Bulk Purchases'!C20*$H$1)+'MMM 20272028 Bulk Purchases'!C20</f>
        <v>3206717.0315659898</v>
      </c>
      <c r="D20" s="191">
        <f>('MMM 20272028 Bulk Purchases'!D20*$H$1)+'MMM 20272028 Bulk Purchases'!D20</f>
        <v>2474489.9312544223</v>
      </c>
      <c r="E20" s="191">
        <f>('MMM 20272028 Bulk Purchases'!E20*$H$1)+'MMM 20272028 Bulk Purchases'!E20</f>
        <v>1927504.1422287701</v>
      </c>
      <c r="F20" s="191">
        <f>('MMM 20272028 Bulk Purchases'!F20*$H$1)+'MMM 20272028 Bulk Purchases'!F20</f>
        <v>1929930.6752213822</v>
      </c>
      <c r="G20" s="191">
        <f>('MMM 20272028 Bulk Purchases'!G20*$H$1)+'MMM 20272028 Bulk Purchases'!G20</f>
        <v>2765101.8952623727</v>
      </c>
      <c r="H20" s="191">
        <f>('MMM 20272028 Bulk Purchases'!H20*$H$1)+'MMM 20272028 Bulk Purchases'!H20</f>
        <v>1842497.6699638688</v>
      </c>
      <c r="I20" s="191">
        <f>('MMM 20272028 Bulk Purchases'!I20*$H$1)+'MMM 20272028 Bulk Purchases'!I20</f>
        <v>1741020.3218663931</v>
      </c>
      <c r="J20" s="191">
        <f>('MMM 20272028 Bulk Purchases'!J20*$H$1)+'MMM 20272028 Bulk Purchases'!J20</f>
        <v>1704063.2261580615</v>
      </c>
      <c r="K20" s="191">
        <f>('MMM 20272028 Bulk Purchases'!K20*$H$1)+'MMM 20272028 Bulk Purchases'!K20</f>
        <v>1930158.795759456</v>
      </c>
      <c r="L20" s="191">
        <f>('MMM 20272028 Bulk Purchases'!L20*$H$1)+'MMM 20272028 Bulk Purchases'!L20</f>
        <v>2018263.4388268453</v>
      </c>
      <c r="M20" s="191">
        <f>('MMM 20272028 Bulk Purchases'!M20*$H$1)+'MMM 20272028 Bulk Purchases'!M20</f>
        <v>2990609.1434871564</v>
      </c>
      <c r="N20" s="163">
        <f t="shared" ref="N20:N22" si="3">SUM(B20:M20)</f>
        <v>27614852.448403507</v>
      </c>
    </row>
    <row r="21" spans="1:14" ht="15" thickBot="1" x14ac:dyDescent="0.35">
      <c r="A21" s="3" t="s">
        <v>11</v>
      </c>
      <c r="B21" s="191">
        <f>('MMM 20272028 Bulk Purchases'!B21*$H$1)+'MMM 20272028 Bulk Purchases'!B21</f>
        <v>1114682.812520999</v>
      </c>
      <c r="C21" s="191">
        <f>('MMM 20272028 Bulk Purchases'!C21*$H$1)+'MMM 20272028 Bulk Purchases'!C21</f>
        <v>1109121.6273090064</v>
      </c>
      <c r="D21" s="191">
        <f>('MMM 20272028 Bulk Purchases'!D21*$H$1)+'MMM 20272028 Bulk Purchases'!D21</f>
        <v>843013.88600085792</v>
      </c>
      <c r="E21" s="191">
        <f>('MMM 20272028 Bulk Purchases'!E21*$H$1)+'MMM 20272028 Bulk Purchases'!E21</f>
        <v>679391.81123794639</v>
      </c>
      <c r="F21" s="191">
        <f>('MMM 20272028 Bulk Purchases'!F21*$H$1)+'MMM 20272028 Bulk Purchases'!F21</f>
        <v>659097.87725567503</v>
      </c>
      <c r="G21" s="191">
        <f>('MMM 20272028 Bulk Purchases'!G21*$H$1)+'MMM 20272028 Bulk Purchases'!G21</f>
        <v>999983.98505218665</v>
      </c>
      <c r="H21" s="191">
        <f>('MMM 20272028 Bulk Purchases'!H21*$H$1)+'MMM 20272028 Bulk Purchases'!H21</f>
        <v>675406.59455908951</v>
      </c>
      <c r="I21" s="191">
        <f>('MMM 20272028 Bulk Purchases'!I21*$H$1)+'MMM 20272028 Bulk Purchases'!I21</f>
        <v>631666.21812837804</v>
      </c>
      <c r="J21" s="191">
        <f>('MMM 20272028 Bulk Purchases'!J21*$H$1)+'MMM 20272028 Bulk Purchases'!J21</f>
        <v>593407.69241942733</v>
      </c>
      <c r="K21" s="191">
        <f>('MMM 20272028 Bulk Purchases'!K21*$H$1)+'MMM 20272028 Bulk Purchases'!K21</f>
        <v>640337.9156092481</v>
      </c>
      <c r="L21" s="191">
        <f>('MMM 20272028 Bulk Purchases'!L21*$H$1)+'MMM 20272028 Bulk Purchases'!L21</f>
        <v>705726.53345504706</v>
      </c>
      <c r="M21" s="191">
        <f>('MMM 20272028 Bulk Purchases'!M21*$H$1)+'MMM 20272028 Bulk Purchases'!M21</f>
        <v>1021706.1732897774</v>
      </c>
      <c r="N21" s="163">
        <f t="shared" si="3"/>
        <v>9673543.1268376391</v>
      </c>
    </row>
    <row r="22" spans="1:14" ht="15" thickBot="1" x14ac:dyDescent="0.35">
      <c r="A22" s="3" t="s">
        <v>12</v>
      </c>
      <c r="B22" s="191">
        <f>('MMM 20272028 Bulk Purchases'!B22*$H$1)+'MMM 20272028 Bulk Purchases'!B22</f>
        <v>197277.45728300445</v>
      </c>
      <c r="C22" s="191">
        <f>('MMM 20272028 Bulk Purchases'!C22*$H$1)+'MMM 20272028 Bulk Purchases'!C22</f>
        <v>198675.23237736541</v>
      </c>
      <c r="D22" s="191">
        <f>('MMM 20272028 Bulk Purchases'!D22*$H$1)+'MMM 20272028 Bulk Purchases'!D22</f>
        <v>142630.06866872968</v>
      </c>
      <c r="E22" s="191">
        <f>('MMM 20272028 Bulk Purchases'!E22*$H$1)+'MMM 20272028 Bulk Purchases'!E22</f>
        <v>194475.81216204568</v>
      </c>
      <c r="F22" s="191">
        <f>('MMM 20272028 Bulk Purchases'!F22*$H$1)+'MMM 20272028 Bulk Purchases'!F22</f>
        <v>202124.72594010373</v>
      </c>
      <c r="G22" s="191">
        <f>('MMM 20272028 Bulk Purchases'!G22*$H$1)+'MMM 20272028 Bulk Purchases'!G22</f>
        <v>315109.90130888397</v>
      </c>
      <c r="H22" s="191">
        <f>('MMM 20272028 Bulk Purchases'!H22*$H$1)+'MMM 20272028 Bulk Purchases'!H22</f>
        <v>194689.27764030799</v>
      </c>
      <c r="I22" s="191">
        <f>('MMM 20272028 Bulk Purchases'!I22*$H$1)+'MMM 20272028 Bulk Purchases'!I22</f>
        <v>180739.10864590268</v>
      </c>
      <c r="J22" s="191">
        <f>('MMM 20272028 Bulk Purchases'!J22*$H$1)+'MMM 20272028 Bulk Purchases'!J22</f>
        <v>127907.93439912287</v>
      </c>
      <c r="K22" s="191">
        <f>('MMM 20272028 Bulk Purchases'!K22*$H$1)+'MMM 20272028 Bulk Purchases'!K22</f>
        <v>148609.03621063277</v>
      </c>
      <c r="L22" s="191">
        <f>('MMM 20272028 Bulk Purchases'!L22*$H$1)+'MMM 20272028 Bulk Purchases'!L22</f>
        <v>161968.58137254167</v>
      </c>
      <c r="M22" s="191">
        <f>('MMM 20272028 Bulk Purchases'!M22*$H$1)+'MMM 20272028 Bulk Purchases'!M22</f>
        <v>219215.90151120358</v>
      </c>
      <c r="N22" s="163">
        <f t="shared" si="3"/>
        <v>2283423.0375198447</v>
      </c>
    </row>
    <row r="23" spans="1:14" ht="15" thickBot="1" x14ac:dyDescent="0.35">
      <c r="A23" s="1" t="s">
        <v>7</v>
      </c>
      <c r="B23" s="155">
        <f t="shared" ref="B23:M23" si="4">SUM(B19:B22)</f>
        <v>4915058.9575990206</v>
      </c>
      <c r="C23" s="155">
        <f t="shared" si="4"/>
        <v>4925912.6867421707</v>
      </c>
      <c r="D23" s="155">
        <f t="shared" si="4"/>
        <v>3819465.7109269705</v>
      </c>
      <c r="E23" s="155">
        <f t="shared" si="4"/>
        <v>3087823.8193434519</v>
      </c>
      <c r="F23" s="155">
        <f t="shared" si="4"/>
        <v>3085951.2466470115</v>
      </c>
      <c r="G23" s="155">
        <f t="shared" si="4"/>
        <v>4480902.2922493909</v>
      </c>
      <c r="H23" s="155">
        <f t="shared" si="4"/>
        <v>2989779.6203908217</v>
      </c>
      <c r="I23" s="155">
        <f t="shared" si="4"/>
        <v>2816847.4414028819</v>
      </c>
      <c r="J23" s="155">
        <f t="shared" si="4"/>
        <v>2931471.5588303483</v>
      </c>
      <c r="K23" s="155">
        <f t="shared" si="4"/>
        <v>3294651.4520707969</v>
      </c>
      <c r="L23" s="155">
        <f t="shared" si="4"/>
        <v>3452742.4885945828</v>
      </c>
      <c r="M23" s="155">
        <f t="shared" si="4"/>
        <v>4885421.9288329817</v>
      </c>
      <c r="N23" s="155">
        <f>SUM(N19:N22)</f>
        <v>44686029.203630425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44686029.203630425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44686029.203630425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3406916427.1521029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3406916427.1521029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44B3-18F8-460D-8ABF-AF8F70B09ACB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228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47327</v>
      </c>
      <c r="C3" s="142">
        <v>47359</v>
      </c>
      <c r="D3" s="142">
        <v>47391</v>
      </c>
      <c r="E3" s="142">
        <v>47392</v>
      </c>
      <c r="F3" s="142">
        <v>47425</v>
      </c>
      <c r="G3" s="142">
        <v>47456</v>
      </c>
      <c r="H3" s="142">
        <v>47487</v>
      </c>
      <c r="I3" s="142">
        <v>47518</v>
      </c>
      <c r="J3" s="142">
        <v>47549</v>
      </c>
      <c r="K3" s="142">
        <v>47580</v>
      </c>
      <c r="L3" s="142">
        <v>47611</v>
      </c>
      <c r="M3" s="142">
        <v>47642</v>
      </c>
      <c r="N3" s="236" t="s">
        <v>2</v>
      </c>
    </row>
    <row r="4" spans="1:14" ht="15" thickBot="1" x14ac:dyDescent="0.35">
      <c r="A4" s="2" t="s">
        <v>3</v>
      </c>
      <c r="B4" s="191">
        <f>('MMM 20282029 Bulk Purchases'!B4*$H$1)+'MMM 20282029 Bulk Purchases'!B4</f>
        <v>349139719.90547621</v>
      </c>
      <c r="C4" s="191">
        <f>('MMM 20282029 Bulk Purchases'!C4*$H$1)+'MMM 20282029 Bulk Purchases'!C4</f>
        <v>369589622.50830561</v>
      </c>
      <c r="D4" s="191">
        <f>('MMM 20282029 Bulk Purchases'!D4*$H$1)+'MMM 20282029 Bulk Purchases'!D4</f>
        <v>234553321.4955354</v>
      </c>
      <c r="E4" s="191">
        <f>('MMM 20282029 Bulk Purchases'!E4*$H$1)+'MMM 20282029 Bulk Purchases'!E4</f>
        <v>211965577.48184097</v>
      </c>
      <c r="F4" s="191">
        <f>('MMM 20282029 Bulk Purchases'!F4*$H$1)+'MMM 20282029 Bulk Purchases'!F4</f>
        <v>222857981.30711809</v>
      </c>
      <c r="G4" s="191">
        <f>('MMM 20282029 Bulk Purchases'!G4*$H$1)+'MMM 20282029 Bulk Purchases'!G4</f>
        <v>217274794.13971302</v>
      </c>
      <c r="H4" s="191">
        <f>('MMM 20282029 Bulk Purchases'!H4*$H$1)+'MMM 20282029 Bulk Purchases'!H4</f>
        <v>213202913.41212958</v>
      </c>
      <c r="I4" s="191">
        <f>('MMM 20282029 Bulk Purchases'!I4*$H$1)+'MMM 20282029 Bulk Purchases'!I4</f>
        <v>201677815.78195757</v>
      </c>
      <c r="J4" s="191">
        <f>('MMM 20282029 Bulk Purchases'!J4*$H$1)+'MMM 20282029 Bulk Purchases'!J4</f>
        <v>163021687.84251544</v>
      </c>
      <c r="K4" s="191">
        <f>('MMM 20282029 Bulk Purchases'!K4*$H$1)+'MMM 20282029 Bulk Purchases'!K4</f>
        <v>218712725.07277766</v>
      </c>
      <c r="L4" s="191">
        <f>('MMM 20282029 Bulk Purchases'!L4*$H$1)+'MMM 20282029 Bulk Purchases'!L4</f>
        <v>228809282.30191037</v>
      </c>
      <c r="M4" s="191">
        <f>('MMM 20282029 Bulk Purchases'!M4*$H$1)+'MMM 20282029 Bulk Purchases'!M4</f>
        <v>297293967.62655813</v>
      </c>
      <c r="N4" s="237">
        <f>SUM(B4:M4)</f>
        <v>2928099408.8758383</v>
      </c>
    </row>
    <row r="5" spans="1:14" ht="15" thickBot="1" x14ac:dyDescent="0.35">
      <c r="A5" s="3" t="s">
        <v>4</v>
      </c>
      <c r="B5" s="191">
        <f>('MMM 20282029 Bulk Purchases'!B5*$H$1)+'MMM 20282029 Bulk Purchases'!B5</f>
        <v>49605437.340927102</v>
      </c>
      <c r="C5" s="191">
        <f>('MMM 20282029 Bulk Purchases'!C5*$H$1)+'MMM 20282029 Bulk Purchases'!C5</f>
        <v>51790062.173729762</v>
      </c>
      <c r="D5" s="191">
        <f>('MMM 20282029 Bulk Purchases'!D5*$H$1)+'MMM 20282029 Bulk Purchases'!D5</f>
        <v>42514183.531417154</v>
      </c>
      <c r="E5" s="191">
        <f>('MMM 20282029 Bulk Purchases'!E5*$H$1)+'MMM 20282029 Bulk Purchases'!E5</f>
        <v>30932819.219426651</v>
      </c>
      <c r="F5" s="191">
        <f>('MMM 20282029 Bulk Purchases'!F5*$H$1)+'MMM 20282029 Bulk Purchases'!F5</f>
        <v>33857021.400770992</v>
      </c>
      <c r="G5" s="191">
        <f>('MMM 20282029 Bulk Purchases'!G5*$H$1)+'MMM 20282029 Bulk Purchases'!G5</f>
        <v>47777032.295725517</v>
      </c>
      <c r="H5" s="191">
        <f>('MMM 20282029 Bulk Purchases'!H5*$H$1)+'MMM 20282029 Bulk Purchases'!H5</f>
        <v>32752980.10107838</v>
      </c>
      <c r="I5" s="191">
        <f>('MMM 20282029 Bulk Purchases'!I5*$H$1)+'MMM 20282029 Bulk Purchases'!I5</f>
        <v>30596574.102067348</v>
      </c>
      <c r="J5" s="191">
        <f>('MMM 20282029 Bulk Purchases'!J5*$H$1)+'MMM 20282029 Bulk Purchases'!J5</f>
        <v>33201524.068971708</v>
      </c>
      <c r="K5" s="191">
        <f>('MMM 20282029 Bulk Purchases'!K5*$H$1)+'MMM 20282029 Bulk Purchases'!K5</f>
        <v>34616442.991195112</v>
      </c>
      <c r="L5" s="191">
        <f>('MMM 20282029 Bulk Purchases'!L5*$H$1)+'MMM 20282029 Bulk Purchases'!L5</f>
        <v>33438940.751051996</v>
      </c>
      <c r="M5" s="191">
        <f>('MMM 20282029 Bulk Purchases'!M5*$H$1)+'MMM 20282029 Bulk Purchases'!M5</f>
        <v>46760804.696294107</v>
      </c>
      <c r="N5" s="237">
        <f t="shared" ref="N5:N9" si="0">SUM(B5:M5)</f>
        <v>467843822.67265588</v>
      </c>
    </row>
    <row r="6" spans="1:14" ht="15" thickBot="1" x14ac:dyDescent="0.35">
      <c r="A6" s="3" t="s">
        <v>5</v>
      </c>
      <c r="B6" s="191">
        <f>('MMM 20282029 Bulk Purchases'!B6*$H$1)+'MMM 20282029 Bulk Purchases'!B6</f>
        <v>2528108.6004804187</v>
      </c>
      <c r="C6" s="191">
        <f>('MMM 20282029 Bulk Purchases'!C6*$H$1)+'MMM 20282029 Bulk Purchases'!C6</f>
        <v>2169068.4745297702</v>
      </c>
      <c r="D6" s="191">
        <f>('MMM 20282029 Bulk Purchases'!D6*$H$1)+'MMM 20282029 Bulk Purchases'!D6</f>
        <v>48952593.749994777</v>
      </c>
      <c r="E6" s="191">
        <f>('MMM 20282029 Bulk Purchases'!E6*$H$1)+'MMM 20282029 Bulk Purchases'!E6</f>
        <v>682680.252346972</v>
      </c>
      <c r="F6" s="191">
        <f>('MMM 20282029 Bulk Purchases'!F6*$H$1)+'MMM 20282029 Bulk Purchases'!F6</f>
        <v>2970010.5925674904</v>
      </c>
      <c r="G6" s="191">
        <f>('MMM 20282029 Bulk Purchases'!G6*$H$1)+'MMM 20282029 Bulk Purchases'!G6</f>
        <v>2857623.0737544778</v>
      </c>
      <c r="H6" s="191">
        <f>('MMM 20282029 Bulk Purchases'!H6*$H$1)+'MMM 20282029 Bulk Purchases'!H6</f>
        <v>1483458.1394595299</v>
      </c>
      <c r="I6" s="191">
        <f>('MMM 20282029 Bulk Purchases'!I6*$H$1)+'MMM 20282029 Bulk Purchases'!I6</f>
        <v>1354415.7488092128</v>
      </c>
      <c r="J6" s="191">
        <f>('MMM 20282029 Bulk Purchases'!J6*$H$1)+'MMM 20282029 Bulk Purchases'!J6</f>
        <v>1896777.4125306061</v>
      </c>
      <c r="K6" s="191">
        <f>('MMM 20282029 Bulk Purchases'!K6*$H$1)+'MMM 20282029 Bulk Purchases'!K6</f>
        <v>2200430.365225757</v>
      </c>
      <c r="L6" s="191">
        <f>('MMM 20282029 Bulk Purchases'!L6*$H$1)+'MMM 20282029 Bulk Purchases'!L6</f>
        <v>2327883.475488984</v>
      </c>
      <c r="M6" s="191">
        <f>('MMM 20282029 Bulk Purchases'!M6*$H$1)+'MMM 20282029 Bulk Purchases'!M6</f>
        <v>4693241.8052981114</v>
      </c>
      <c r="N6" s="237">
        <f t="shared" si="0"/>
        <v>74116291.690486088</v>
      </c>
    </row>
    <row r="7" spans="1:14" ht="15" thickBot="1" x14ac:dyDescent="0.35">
      <c r="A7" s="3" t="s">
        <v>6</v>
      </c>
      <c r="B7" s="191">
        <f>('MMM 20282029 Bulk Purchases'!B7*$H$1)+'MMM 20282029 Bulk Purchases'!B7</f>
        <v>3303404.8566204566</v>
      </c>
      <c r="C7" s="191">
        <f>('MMM 20282029 Bulk Purchases'!C7*$H$1)+'MMM 20282029 Bulk Purchases'!C7</f>
        <v>3351162.3314039344</v>
      </c>
      <c r="D7" s="191">
        <f>('MMM 20282029 Bulk Purchases'!D7*$H$1)+'MMM 20282029 Bulk Purchases'!D7</f>
        <v>2832956.7879969156</v>
      </c>
      <c r="E7" s="191">
        <f>('MMM 20282029 Bulk Purchases'!E7*$H$1)+'MMM 20282029 Bulk Purchases'!E7</f>
        <v>2392682.4883354446</v>
      </c>
      <c r="F7" s="191">
        <f>('MMM 20282029 Bulk Purchases'!F7*$H$1)+'MMM 20282029 Bulk Purchases'!F7</f>
        <v>2575689.1183702126</v>
      </c>
      <c r="G7" s="191">
        <f>('MMM 20282029 Bulk Purchases'!G7*$H$1)+'MMM 20282029 Bulk Purchases'!G7</f>
        <v>4005561.9114553337</v>
      </c>
      <c r="H7" s="191">
        <f>('MMM 20282029 Bulk Purchases'!H7*$H$1)+'MMM 20282029 Bulk Purchases'!H7</f>
        <v>2767083.5549250422</v>
      </c>
      <c r="I7" s="191">
        <f>('MMM 20282029 Bulk Purchases'!I7*$H$1)+'MMM 20282029 Bulk Purchases'!I7</f>
        <v>2490253.7329863505</v>
      </c>
      <c r="J7" s="191">
        <f>('MMM 20282029 Bulk Purchases'!J7*$H$1)+'MMM 20282029 Bulk Purchases'!J7</f>
        <v>2334245.7512013894</v>
      </c>
      <c r="K7" s="191">
        <f>('MMM 20282029 Bulk Purchases'!K7*$H$1)+'MMM 20282029 Bulk Purchases'!K7</f>
        <v>2528990.1729442421</v>
      </c>
      <c r="L7" s="191">
        <f>('MMM 20282029 Bulk Purchases'!L7*$H$1)+'MMM 20282029 Bulk Purchases'!L7</f>
        <v>2738574.1162006645</v>
      </c>
      <c r="M7" s="191">
        <f>('MMM 20282029 Bulk Purchases'!M7*$H$1)+'MMM 20282029 Bulk Purchases'!M7</f>
        <v>3653994.1213923497</v>
      </c>
      <c r="N7" s="237">
        <f t="shared" si="0"/>
        <v>34974598.94383233</v>
      </c>
    </row>
    <row r="8" spans="1:14" ht="15" thickBot="1" x14ac:dyDescent="0.35">
      <c r="A8" s="3" t="s">
        <v>63</v>
      </c>
      <c r="B8" s="191">
        <f>('MMM 20282029 Bulk Purchases'!B8*$H$1)+'MMM 20282029 Bulk Purchases'!B8</f>
        <v>478643.26891619229</v>
      </c>
      <c r="C8" s="191">
        <f>('MMM 20282029 Bulk Purchases'!C8*$H$1)+'MMM 20282029 Bulk Purchases'!C8</f>
        <v>556442.18995677656</v>
      </c>
      <c r="D8" s="191">
        <f>('MMM 20282029 Bulk Purchases'!D8*$H$1)+'MMM 20282029 Bulk Purchases'!D8</f>
        <v>620734.51688615244</v>
      </c>
      <c r="E8" s="191">
        <f>('MMM 20282029 Bulk Purchases'!E8*$H$1)+'MMM 20282029 Bulk Purchases'!E8</f>
        <v>642092.27474507398</v>
      </c>
      <c r="F8" s="191">
        <f>('MMM 20282029 Bulk Purchases'!F8*$H$1)+'MMM 20282029 Bulk Purchases'!F8</f>
        <v>706301.50346356642</v>
      </c>
      <c r="G8" s="191">
        <f>('MMM 20282029 Bulk Purchases'!G8*$H$1)+'MMM 20282029 Bulk Purchases'!G8</f>
        <v>714728.58285491611</v>
      </c>
      <c r="H8" s="191">
        <f>('MMM 20282029 Bulk Purchases'!H8*$H$1)+'MMM 20282029 Bulk Purchases'!H8</f>
        <v>727655.16861120355</v>
      </c>
      <c r="I8" s="191">
        <f>('MMM 20282029 Bulk Purchases'!I8*$H$1)+'MMM 20282029 Bulk Purchases'!I8</f>
        <v>620647.05228724214</v>
      </c>
      <c r="J8" s="191">
        <f>('MMM 20282029 Bulk Purchases'!J8*$H$1)+'MMM 20282029 Bulk Purchases'!J8</f>
        <v>667080.01435739989</v>
      </c>
      <c r="K8" s="191">
        <f>('MMM 20282029 Bulk Purchases'!K8*$H$1)+'MMM 20282029 Bulk Purchases'!K8</f>
        <v>794539.93785786431</v>
      </c>
      <c r="L8" s="191">
        <f>('MMM 20282029 Bulk Purchases'!L8*$H$1)+'MMM 20282029 Bulk Purchases'!L8</f>
        <v>915732.51398183289</v>
      </c>
      <c r="M8" s="191">
        <f>('MMM 20282029 Bulk Purchases'!M8*$H$1)+'MMM 20282029 Bulk Purchases'!M8</f>
        <v>915732.51398183289</v>
      </c>
      <c r="N8" s="237">
        <f t="shared" si="0"/>
        <v>8360329.5379000539</v>
      </c>
    </row>
    <row r="9" spans="1:14" ht="15" thickBot="1" x14ac:dyDescent="0.35">
      <c r="A9" s="4" t="s">
        <v>167</v>
      </c>
      <c r="B9" s="191">
        <f>('MMM 20282029 Bulk Purchases'!B9*$H$1)+'MMM 20282029 Bulk Purchases'!B9</f>
        <v>16390.500104117727</v>
      </c>
      <c r="C9" s="191">
        <f>('MMM 20282029 Bulk Purchases'!C9*$H$1)+'MMM 20282029 Bulk Purchases'!C9</f>
        <v>10073.02082098095</v>
      </c>
      <c r="D9" s="191">
        <f>('MMM 20282029 Bulk Purchases'!D9*$H$1)+'MMM 20282029 Bulk Purchases'!D9</f>
        <v>10073.02082098095</v>
      </c>
      <c r="E9" s="191">
        <f>('MMM 20282029 Bulk Purchases'!E9*$H$1)+'MMM 20282029 Bulk Purchases'!E9</f>
        <v>9748.2287269764802</v>
      </c>
      <c r="F9" s="191">
        <f>('MMM 20282029 Bulk Purchases'!F9*$H$1)+'MMM 20282029 Bulk Purchases'!F9</f>
        <v>10073.02082098095</v>
      </c>
      <c r="G9" s="191">
        <f>('MMM 20282029 Bulk Purchases'!G9*$H$1)+'MMM 20282029 Bulk Purchases'!G9</f>
        <v>11160.32607880242</v>
      </c>
      <c r="H9" s="191">
        <f>('MMM 20282029 Bulk Purchases'!H9*$H$1)+'MMM 20282029 Bulk Purchases'!H9</f>
        <v>10029.41913997112</v>
      </c>
      <c r="I9" s="191">
        <f>('MMM 20282029 Bulk Purchases'!I9*$H$1)+'MMM 20282029 Bulk Purchases'!I9</f>
        <v>10029.41913997112</v>
      </c>
      <c r="J9" s="191">
        <f>('MMM 20282029 Bulk Purchases'!J9*$H$1)+'MMM 20282029 Bulk Purchases'!J9</f>
        <v>11597.653064057733</v>
      </c>
      <c r="K9" s="191">
        <f>('MMM 20282029 Bulk Purchases'!K9*$H$1)+'MMM 20282029 Bulk Purchases'!K9</f>
        <v>12839.462487010385</v>
      </c>
      <c r="L9" s="191">
        <f>('MMM 20282029 Bulk Purchases'!L9*$H$1)+'MMM 20282029 Bulk Purchases'!L9</f>
        <v>12423.674990922853</v>
      </c>
      <c r="M9" s="191">
        <f>('MMM 20282029 Bulk Purchases'!M9*$H$1)+'MMM 20282029 Bulk Purchases'!M9</f>
        <v>11876.389246530634</v>
      </c>
      <c r="N9" s="237">
        <f t="shared" si="0"/>
        <v>136314.13544130331</v>
      </c>
    </row>
    <row r="10" spans="1:14" ht="15" thickBot="1" x14ac:dyDescent="0.35">
      <c r="A10" s="1" t="s">
        <v>7</v>
      </c>
      <c r="B10" s="155">
        <f t="shared" ref="B10:L10" si="1">SUM(B4:B9)</f>
        <v>405071704.47252452</v>
      </c>
      <c r="C10" s="155">
        <f t="shared" si="1"/>
        <v>427466430.6987468</v>
      </c>
      <c r="D10" s="155">
        <f t="shared" si="1"/>
        <v>329483863.10265136</v>
      </c>
      <c r="E10" s="155">
        <f t="shared" si="1"/>
        <v>246625599.94542208</v>
      </c>
      <c r="F10" s="155">
        <f t="shared" si="1"/>
        <v>262977076.94311133</v>
      </c>
      <c r="G10" s="155">
        <f t="shared" si="1"/>
        <v>272640900.32958215</v>
      </c>
      <c r="H10" s="155">
        <f t="shared" si="1"/>
        <v>250944119.79534373</v>
      </c>
      <c r="I10" s="155">
        <f t="shared" si="1"/>
        <v>236749735.83724773</v>
      </c>
      <c r="J10" s="155">
        <f t="shared" si="1"/>
        <v>201132912.74264061</v>
      </c>
      <c r="K10" s="155">
        <f t="shared" si="1"/>
        <v>258865968.00248766</v>
      </c>
      <c r="L10" s="155">
        <f t="shared" si="1"/>
        <v>268242836.83362475</v>
      </c>
      <c r="M10" s="155">
        <f>SUM(M4:M9)</f>
        <v>353329617.15277106</v>
      </c>
      <c r="N10" s="155">
        <f>SUM(N4:N9)</f>
        <v>3513530765.856154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3513530765.856154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3513530765.856154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229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47327</v>
      </c>
      <c r="C18" s="142">
        <f t="shared" si="2"/>
        <v>47359</v>
      </c>
      <c r="D18" s="142">
        <f t="shared" si="2"/>
        <v>47391</v>
      </c>
      <c r="E18" s="142">
        <f t="shared" si="2"/>
        <v>47392</v>
      </c>
      <c r="F18" s="142">
        <f t="shared" si="2"/>
        <v>47425</v>
      </c>
      <c r="G18" s="142">
        <f t="shared" si="2"/>
        <v>47456</v>
      </c>
      <c r="H18" s="142">
        <f t="shared" si="2"/>
        <v>47487</v>
      </c>
      <c r="I18" s="142">
        <f t="shared" si="2"/>
        <v>47518</v>
      </c>
      <c r="J18" s="142">
        <f t="shared" si="2"/>
        <v>47549</v>
      </c>
      <c r="K18" s="142">
        <f t="shared" si="2"/>
        <v>47580</v>
      </c>
      <c r="L18" s="142">
        <f t="shared" si="2"/>
        <v>47611</v>
      </c>
      <c r="M18" s="142">
        <f t="shared" si="2"/>
        <v>47642</v>
      </c>
      <c r="N18" s="236" t="s">
        <v>2</v>
      </c>
    </row>
    <row r="19" spans="1:14" ht="15" thickBot="1" x14ac:dyDescent="0.35">
      <c r="A19" s="2" t="s">
        <v>9</v>
      </c>
      <c r="B19" s="191">
        <f>('MMM 20282029 Bulk Purchases'!B19*$H$1)+'MMM 20282029 Bulk Purchases'!B19</f>
        <v>541939.62398060656</v>
      </c>
      <c r="C19" s="191">
        <f>('MMM 20282029 Bulk Purchases'!C19*$H$1)+'MMM 20282029 Bulk Purchases'!C19</f>
        <v>429911.74128685077</v>
      </c>
      <c r="D19" s="191">
        <f>('MMM 20282029 Bulk Purchases'!D19*$H$1)+'MMM 20282029 Bulk Purchases'!D19</f>
        <v>375501.75712809392</v>
      </c>
      <c r="E19" s="191">
        <f>('MMM 20282029 Bulk Purchases'!E19*$H$1)+'MMM 20282029 Bulk Purchases'!E19</f>
        <v>299342.39613185055</v>
      </c>
      <c r="F19" s="191">
        <f>('MMM 20282029 Bulk Purchases'!F19*$H$1)+'MMM 20282029 Bulk Purchases'!F19</f>
        <v>308063.87680019403</v>
      </c>
      <c r="G19" s="191">
        <f>('MMM 20282029 Bulk Purchases'!G19*$H$1)+'MMM 20282029 Bulk Purchases'!G19</f>
        <v>418738.30360411556</v>
      </c>
      <c r="H19" s="191">
        <f>('MMM 20282029 Bulk Purchases'!H19*$H$1)+'MMM 20282029 Bulk Purchases'!H19</f>
        <v>289659.45174779551</v>
      </c>
      <c r="I19" s="191">
        <f>('MMM 20282029 Bulk Purchases'!I19*$H$1)+'MMM 20282029 Bulk Purchases'!I19</f>
        <v>275275.77343650738</v>
      </c>
      <c r="J19" s="191">
        <f>('MMM 20282029 Bulk Purchases'!J19*$H$1)+'MMM 20282029 Bulk Purchases'!J19</f>
        <v>528866.87761715474</v>
      </c>
      <c r="K19" s="191">
        <f>('MMM 20282029 Bulk Purchases'!K19*$H$1)+'MMM 20282029 Bulk Purchases'!K19</f>
        <v>601445.26119357592</v>
      </c>
      <c r="L19" s="191">
        <f>('MMM 20282029 Bulk Purchases'!L19*$H$1)+'MMM 20282029 Bulk Purchases'!L19</f>
        <v>592289.21201245498</v>
      </c>
      <c r="M19" s="191">
        <f>('MMM 20282029 Bulk Purchases'!M19*$H$1)+'MMM 20282029 Bulk Purchases'!M19</f>
        <v>683315.79251936264</v>
      </c>
      <c r="N19" s="163">
        <f>SUM(B19:M19)</f>
        <v>5344350.0674585626</v>
      </c>
    </row>
    <row r="20" spans="1:14" ht="15" thickBot="1" x14ac:dyDescent="0.35">
      <c r="A20" s="3" t="s">
        <v>10</v>
      </c>
      <c r="B20" s="191">
        <f>('MMM 20282029 Bulk Purchases'!B20*$H$1)+'MMM 20282029 Bulk Purchases'!B20</f>
        <v>3223298.5047651874</v>
      </c>
      <c r="C20" s="191">
        <f>('MMM 20282029 Bulk Purchases'!C20*$H$1)+'MMM 20282029 Bulk Purchases'!C20</f>
        <v>3351019.2979864595</v>
      </c>
      <c r="D20" s="191">
        <f>('MMM 20282029 Bulk Purchases'!D20*$H$1)+'MMM 20282029 Bulk Purchases'!D20</f>
        <v>2585841.9781608712</v>
      </c>
      <c r="E20" s="191">
        <f>('MMM 20282029 Bulk Purchases'!E20*$H$1)+'MMM 20282029 Bulk Purchases'!E20</f>
        <v>2014241.8286290648</v>
      </c>
      <c r="F20" s="191">
        <f>('MMM 20282029 Bulk Purchases'!F20*$H$1)+'MMM 20282029 Bulk Purchases'!F20</f>
        <v>2016777.5556063442</v>
      </c>
      <c r="G20" s="191">
        <f>('MMM 20282029 Bulk Purchases'!G20*$H$1)+'MMM 20282029 Bulk Purchases'!G20</f>
        <v>2889531.4805491795</v>
      </c>
      <c r="H20" s="191">
        <f>('MMM 20282029 Bulk Purchases'!H20*$H$1)+'MMM 20282029 Bulk Purchases'!H20</f>
        <v>1925410.0651122429</v>
      </c>
      <c r="I20" s="191">
        <f>('MMM 20282029 Bulk Purchases'!I20*$H$1)+'MMM 20282029 Bulk Purchases'!I20</f>
        <v>1819366.2363503808</v>
      </c>
      <c r="J20" s="191">
        <f>('MMM 20282029 Bulk Purchases'!J20*$H$1)+'MMM 20282029 Bulk Purchases'!J20</f>
        <v>1780746.0713351744</v>
      </c>
      <c r="K20" s="191">
        <f>('MMM 20282029 Bulk Purchases'!K20*$H$1)+'MMM 20282029 Bulk Purchases'!K20</f>
        <v>2017015.9415686314</v>
      </c>
      <c r="L20" s="191">
        <f>('MMM 20282029 Bulk Purchases'!L20*$H$1)+'MMM 20282029 Bulk Purchases'!L20</f>
        <v>2109085.2935740533</v>
      </c>
      <c r="M20" s="191">
        <f>('MMM 20282029 Bulk Purchases'!M20*$H$1)+'MMM 20282029 Bulk Purchases'!M20</f>
        <v>3125186.5549440784</v>
      </c>
      <c r="N20" s="163">
        <f t="shared" ref="N20:N22" si="3">SUM(B20:M20)</f>
        <v>28857520.808581669</v>
      </c>
    </row>
    <row r="21" spans="1:14" ht="15" thickBot="1" x14ac:dyDescent="0.35">
      <c r="A21" s="3" t="s">
        <v>11</v>
      </c>
      <c r="B21" s="191">
        <f>('MMM 20282029 Bulk Purchases'!B21*$H$1)+'MMM 20282029 Bulk Purchases'!B21</f>
        <v>1164843.5390844441</v>
      </c>
      <c r="C21" s="191">
        <f>('MMM 20282029 Bulk Purchases'!C21*$H$1)+'MMM 20282029 Bulk Purchases'!C21</f>
        <v>1159032.1005379118</v>
      </c>
      <c r="D21" s="191">
        <f>('MMM 20282029 Bulk Purchases'!D21*$H$1)+'MMM 20282029 Bulk Purchases'!D21</f>
        <v>880949.51087089651</v>
      </c>
      <c r="E21" s="191">
        <f>('MMM 20282029 Bulk Purchases'!E21*$H$1)+'MMM 20282029 Bulk Purchases'!E21</f>
        <v>709964.44274365401</v>
      </c>
      <c r="F21" s="191">
        <f>('MMM 20282029 Bulk Purchases'!F21*$H$1)+'MMM 20282029 Bulk Purchases'!F21</f>
        <v>688757.28173218039</v>
      </c>
      <c r="G21" s="191">
        <f>('MMM 20282029 Bulk Purchases'!G21*$H$1)+'MMM 20282029 Bulk Purchases'!G21</f>
        <v>1044983.2643795351</v>
      </c>
      <c r="H21" s="191">
        <f>('MMM 20282029 Bulk Purchases'!H21*$H$1)+'MMM 20282029 Bulk Purchases'!H21</f>
        <v>705799.89131424855</v>
      </c>
      <c r="I21" s="191">
        <f>('MMM 20282029 Bulk Purchases'!I21*$H$1)+'MMM 20282029 Bulk Purchases'!I21</f>
        <v>660091.19794415508</v>
      </c>
      <c r="J21" s="191">
        <f>('MMM 20282029 Bulk Purchases'!J21*$H$1)+'MMM 20282029 Bulk Purchases'!J21</f>
        <v>620111.03857830155</v>
      </c>
      <c r="K21" s="191">
        <f>('MMM 20282029 Bulk Purchases'!K21*$H$1)+'MMM 20282029 Bulk Purchases'!K21</f>
        <v>669153.12181166431</v>
      </c>
      <c r="L21" s="191">
        <f>('MMM 20282029 Bulk Purchases'!L21*$H$1)+'MMM 20282029 Bulk Purchases'!L21</f>
        <v>737484.22746052418</v>
      </c>
      <c r="M21" s="191">
        <f>('MMM 20282029 Bulk Purchases'!M21*$H$1)+'MMM 20282029 Bulk Purchases'!M21</f>
        <v>1067682.9510878173</v>
      </c>
      <c r="N21" s="163">
        <f t="shared" si="3"/>
        <v>10108852.567545334</v>
      </c>
    </row>
    <row r="22" spans="1:14" ht="15" thickBot="1" x14ac:dyDescent="0.35">
      <c r="A22" s="3" t="s">
        <v>12</v>
      </c>
      <c r="B22" s="191">
        <f>('MMM 20282029 Bulk Purchases'!B22*$H$1)+'MMM 20282029 Bulk Purchases'!B22</f>
        <v>206154.94286073965</v>
      </c>
      <c r="C22" s="191">
        <f>('MMM 20282029 Bulk Purchases'!C22*$H$1)+'MMM 20282029 Bulk Purchases'!C22</f>
        <v>207615.61783434683</v>
      </c>
      <c r="D22" s="191">
        <f>('MMM 20282029 Bulk Purchases'!D22*$H$1)+'MMM 20282029 Bulk Purchases'!D22</f>
        <v>149048.42175882251</v>
      </c>
      <c r="E22" s="191">
        <f>('MMM 20282029 Bulk Purchases'!E22*$H$1)+'MMM 20282029 Bulk Purchases'!E22</f>
        <v>203227.22370933773</v>
      </c>
      <c r="F22" s="191">
        <f>('MMM 20282029 Bulk Purchases'!F22*$H$1)+'MMM 20282029 Bulk Purchases'!F22</f>
        <v>211220.3386074084</v>
      </c>
      <c r="G22" s="191">
        <f>('MMM 20282029 Bulk Purchases'!G22*$H$1)+'MMM 20282029 Bulk Purchases'!G22</f>
        <v>329289.84686778375</v>
      </c>
      <c r="H22" s="191">
        <f>('MMM 20282029 Bulk Purchases'!H22*$H$1)+'MMM 20282029 Bulk Purchases'!H22</f>
        <v>203450.29513412184</v>
      </c>
      <c r="I22" s="191">
        <f>('MMM 20282029 Bulk Purchases'!I22*$H$1)+'MMM 20282029 Bulk Purchases'!I22</f>
        <v>188872.36853496829</v>
      </c>
      <c r="J22" s="191">
        <f>('MMM 20282029 Bulk Purchases'!J22*$H$1)+'MMM 20282029 Bulk Purchases'!J22</f>
        <v>133663.79144708341</v>
      </c>
      <c r="K22" s="191">
        <f>('MMM 20282029 Bulk Purchases'!K22*$H$1)+'MMM 20282029 Bulk Purchases'!K22</f>
        <v>155296.44284011124</v>
      </c>
      <c r="L22" s="191">
        <f>('MMM 20282029 Bulk Purchases'!L22*$H$1)+'MMM 20282029 Bulk Purchases'!L22</f>
        <v>169257.16753430603</v>
      </c>
      <c r="M22" s="191">
        <f>('MMM 20282029 Bulk Purchases'!M22*$H$1)+'MMM 20282029 Bulk Purchases'!M22</f>
        <v>229080.61707920773</v>
      </c>
      <c r="N22" s="163">
        <f t="shared" si="3"/>
        <v>2386177.0742082372</v>
      </c>
    </row>
    <row r="23" spans="1:14" ht="15" thickBot="1" x14ac:dyDescent="0.35">
      <c r="A23" s="1" t="s">
        <v>7</v>
      </c>
      <c r="B23" s="155">
        <f t="shared" ref="B23:M23" si="4">SUM(B19:B22)</f>
        <v>5136236.6106909774</v>
      </c>
      <c r="C23" s="155">
        <f t="shared" si="4"/>
        <v>5147578.7576455697</v>
      </c>
      <c r="D23" s="155">
        <f t="shared" si="4"/>
        <v>3991341.6679186844</v>
      </c>
      <c r="E23" s="155">
        <f t="shared" si="4"/>
        <v>3226775.8912139069</v>
      </c>
      <c r="F23" s="155">
        <f t="shared" si="4"/>
        <v>3224819.0527461269</v>
      </c>
      <c r="G23" s="155">
        <f t="shared" si="4"/>
        <v>4682542.8954006145</v>
      </c>
      <c r="H23" s="155">
        <f t="shared" si="4"/>
        <v>3124319.7033084091</v>
      </c>
      <c r="I23" s="155">
        <f t="shared" si="4"/>
        <v>2943605.5762660117</v>
      </c>
      <c r="J23" s="155">
        <f t="shared" si="4"/>
        <v>3063387.7789777145</v>
      </c>
      <c r="K23" s="155">
        <f t="shared" si="4"/>
        <v>3442910.7674139831</v>
      </c>
      <c r="L23" s="155">
        <f t="shared" si="4"/>
        <v>3608115.9005813384</v>
      </c>
      <c r="M23" s="155">
        <f t="shared" si="4"/>
        <v>5105265.9156304663</v>
      </c>
      <c r="N23" s="155">
        <f>SUM(N19:N22)</f>
        <v>46696900.517793804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46696900.517793804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46696900.517793804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3560227666.3739476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3560227666.3739476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7ED8-E730-47F3-BD73-DB0C7D0BC12D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230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47665</v>
      </c>
      <c r="C3" s="142">
        <v>47696</v>
      </c>
      <c r="D3" s="142">
        <v>47756</v>
      </c>
      <c r="E3" s="142">
        <v>47757</v>
      </c>
      <c r="F3" s="142">
        <v>47790</v>
      </c>
      <c r="G3" s="142">
        <v>47821</v>
      </c>
      <c r="H3" s="142">
        <v>47852</v>
      </c>
      <c r="I3" s="142">
        <v>47883</v>
      </c>
      <c r="J3" s="142">
        <v>47911</v>
      </c>
      <c r="K3" s="142">
        <v>47942</v>
      </c>
      <c r="L3" s="142">
        <v>47972</v>
      </c>
      <c r="M3" s="142">
        <v>48003</v>
      </c>
      <c r="N3" s="236" t="s">
        <v>2</v>
      </c>
    </row>
    <row r="4" spans="1:14" ht="15" thickBot="1" x14ac:dyDescent="0.35">
      <c r="A4" s="2" t="s">
        <v>3</v>
      </c>
      <c r="B4" s="191">
        <f>('MMM 20292030'!B4*$H$1)+'MMM 20292030'!B4</f>
        <v>364851007.30122262</v>
      </c>
      <c r="C4" s="191">
        <f>('MMM 20292030'!C4*$H$1)+'MMM 20292030'!C4</f>
        <v>386221155.52117938</v>
      </c>
      <c r="D4" s="191">
        <f>('MMM 20292030'!D4*$H$1)+'MMM 20292030'!D4</f>
        <v>245108220.96283451</v>
      </c>
      <c r="E4" s="191">
        <f>('MMM 20292030'!E4*$H$1)+'MMM 20292030'!E4</f>
        <v>221504028.4685238</v>
      </c>
      <c r="F4" s="191">
        <f>('MMM 20292030'!F4*$H$1)+'MMM 20292030'!F4</f>
        <v>232886590.46593839</v>
      </c>
      <c r="G4" s="191">
        <f>('MMM 20292030'!G4*$H$1)+'MMM 20292030'!G4</f>
        <v>227052159.87600011</v>
      </c>
      <c r="H4" s="191">
        <f>('MMM 20292030'!H4*$H$1)+'MMM 20292030'!H4</f>
        <v>222797044.51567543</v>
      </c>
      <c r="I4" s="191">
        <f>('MMM 20292030'!I4*$H$1)+'MMM 20292030'!I4</f>
        <v>210753317.49214566</v>
      </c>
      <c r="J4" s="191">
        <f>('MMM 20292030'!J4*$H$1)+'MMM 20292030'!J4</f>
        <v>170357663.79542863</v>
      </c>
      <c r="K4" s="191">
        <f>('MMM 20292030'!K4*$H$1)+'MMM 20292030'!K4</f>
        <v>228554797.70105267</v>
      </c>
      <c r="L4" s="191">
        <f>('MMM 20292030'!L4*$H$1)+'MMM 20292030'!L4</f>
        <v>239105700.00549632</v>
      </c>
      <c r="M4" s="191">
        <f>('MMM 20292030'!M4*$H$1)+'MMM 20292030'!M4</f>
        <v>310672196.16975325</v>
      </c>
      <c r="N4" s="237">
        <f>SUM(B4:M4)</f>
        <v>3059863882.2752509</v>
      </c>
    </row>
    <row r="5" spans="1:14" ht="15" thickBot="1" x14ac:dyDescent="0.35">
      <c r="A5" s="3" t="s">
        <v>4</v>
      </c>
      <c r="B5" s="191">
        <f>('MMM 20292030'!B5*$H$1)+'MMM 20292030'!B5</f>
        <v>51837682.021268822</v>
      </c>
      <c r="C5" s="191">
        <f>('MMM 20292030'!C5*$H$1)+'MMM 20292030'!C5</f>
        <v>54120614.971547604</v>
      </c>
      <c r="D5" s="191">
        <f>('MMM 20292030'!D5*$H$1)+'MMM 20292030'!D5</f>
        <v>44427321.790330924</v>
      </c>
      <c r="E5" s="191">
        <f>('MMM 20292030'!E5*$H$1)+'MMM 20292030'!E5</f>
        <v>32324796.08430085</v>
      </c>
      <c r="F5" s="191">
        <f>('MMM 20292030'!F5*$H$1)+'MMM 20292030'!F5</f>
        <v>35380587.363805689</v>
      </c>
      <c r="G5" s="191">
        <f>('MMM 20292030'!G5*$H$1)+'MMM 20292030'!G5</f>
        <v>49926998.749033168</v>
      </c>
      <c r="H5" s="191">
        <f>('MMM 20292030'!H5*$H$1)+'MMM 20292030'!H5</f>
        <v>34226864.205626905</v>
      </c>
      <c r="I5" s="191">
        <f>('MMM 20292030'!I5*$H$1)+'MMM 20292030'!I5</f>
        <v>31973419.936660379</v>
      </c>
      <c r="J5" s="191">
        <f>('MMM 20292030'!J5*$H$1)+'MMM 20292030'!J5</f>
        <v>34695592.652075432</v>
      </c>
      <c r="K5" s="191">
        <f>('MMM 20292030'!K5*$H$1)+'MMM 20292030'!K5</f>
        <v>36174182.925798893</v>
      </c>
      <c r="L5" s="191">
        <f>('MMM 20292030'!L5*$H$1)+'MMM 20292030'!L5</f>
        <v>34943693.084849335</v>
      </c>
      <c r="M5" s="191">
        <f>('MMM 20292030'!M5*$H$1)+'MMM 20292030'!M5</f>
        <v>48865040.907627344</v>
      </c>
      <c r="N5" s="237">
        <f t="shared" ref="N5:N9" si="0">SUM(B5:M5)</f>
        <v>488896794.69292533</v>
      </c>
    </row>
    <row r="6" spans="1:14" ht="15" thickBot="1" x14ac:dyDescent="0.35">
      <c r="A6" s="3" t="s">
        <v>5</v>
      </c>
      <c r="B6" s="191">
        <f>('MMM 20292030'!B6*$H$1)+'MMM 20292030'!B6</f>
        <v>2641873.4875020375</v>
      </c>
      <c r="C6" s="191">
        <f>('MMM 20292030'!C6*$H$1)+'MMM 20292030'!C6</f>
        <v>2266676.5558836097</v>
      </c>
      <c r="D6" s="191">
        <f>('MMM 20292030'!D6*$H$1)+'MMM 20292030'!D6</f>
        <v>51155460.468744539</v>
      </c>
      <c r="E6" s="191">
        <f>('MMM 20292030'!E6*$H$1)+'MMM 20292030'!E6</f>
        <v>713400.86370258569</v>
      </c>
      <c r="F6" s="191">
        <f>('MMM 20292030'!F6*$H$1)+'MMM 20292030'!F6</f>
        <v>3103661.0692330273</v>
      </c>
      <c r="G6" s="191">
        <f>('MMM 20292030'!G6*$H$1)+'MMM 20292030'!G6</f>
        <v>2986216.1120734294</v>
      </c>
      <c r="H6" s="191">
        <f>('MMM 20292030'!H6*$H$1)+'MMM 20292030'!H6</f>
        <v>1550213.7557352087</v>
      </c>
      <c r="I6" s="191">
        <f>('MMM 20292030'!I6*$H$1)+'MMM 20292030'!I6</f>
        <v>1415364.4575056273</v>
      </c>
      <c r="J6" s="191">
        <f>('MMM 20292030'!J6*$H$1)+'MMM 20292030'!J6</f>
        <v>1982132.3960944833</v>
      </c>
      <c r="K6" s="191">
        <f>('MMM 20292030'!K6*$H$1)+'MMM 20292030'!K6</f>
        <v>2299449.731660916</v>
      </c>
      <c r="L6" s="191">
        <f>('MMM 20292030'!L6*$H$1)+'MMM 20292030'!L6</f>
        <v>2432638.2318859883</v>
      </c>
      <c r="M6" s="191">
        <f>('MMM 20292030'!M6*$H$1)+'MMM 20292030'!M6</f>
        <v>4904437.6865365263</v>
      </c>
      <c r="N6" s="237">
        <f t="shared" si="0"/>
        <v>77451524.816557974</v>
      </c>
    </row>
    <row r="7" spans="1:14" ht="15" thickBot="1" x14ac:dyDescent="0.35">
      <c r="A7" s="3" t="s">
        <v>6</v>
      </c>
      <c r="B7" s="191">
        <f>('MMM 20292030'!B7*$H$1)+'MMM 20292030'!B7</f>
        <v>3452058.0751683773</v>
      </c>
      <c r="C7" s="191">
        <f>('MMM 20292030'!C7*$H$1)+'MMM 20292030'!C7</f>
        <v>3501964.6363171116</v>
      </c>
      <c r="D7" s="191">
        <f>('MMM 20292030'!D7*$H$1)+'MMM 20292030'!D7</f>
        <v>2960439.8434567768</v>
      </c>
      <c r="E7" s="191">
        <f>('MMM 20292030'!E7*$H$1)+'MMM 20292030'!E7</f>
        <v>2500353.2003105395</v>
      </c>
      <c r="F7" s="191">
        <f>('MMM 20292030'!F7*$H$1)+'MMM 20292030'!F7</f>
        <v>2691595.1286968724</v>
      </c>
      <c r="G7" s="191">
        <f>('MMM 20292030'!G7*$H$1)+'MMM 20292030'!G7</f>
        <v>4185812.1974708238</v>
      </c>
      <c r="H7" s="191">
        <f>('MMM 20292030'!H7*$H$1)+'MMM 20292030'!H7</f>
        <v>2891602.3148966692</v>
      </c>
      <c r="I7" s="191">
        <f>('MMM 20292030'!I7*$H$1)+'MMM 20292030'!I7</f>
        <v>2602315.1509707365</v>
      </c>
      <c r="J7" s="191">
        <f>('MMM 20292030'!J7*$H$1)+'MMM 20292030'!J7</f>
        <v>2439286.810005452</v>
      </c>
      <c r="K7" s="191">
        <f>('MMM 20292030'!K7*$H$1)+'MMM 20292030'!K7</f>
        <v>2642794.7307267329</v>
      </c>
      <c r="L7" s="191">
        <f>('MMM 20292030'!L7*$H$1)+'MMM 20292030'!L7</f>
        <v>2861809.9514296944</v>
      </c>
      <c r="M7" s="191">
        <f>('MMM 20292030'!M7*$H$1)+'MMM 20292030'!M7</f>
        <v>3818423.8568550055</v>
      </c>
      <c r="N7" s="237">
        <f t="shared" si="0"/>
        <v>36548455.896304794</v>
      </c>
    </row>
    <row r="8" spans="1:14" ht="15" thickBot="1" x14ac:dyDescent="0.35">
      <c r="A8" s="3" t="s">
        <v>63</v>
      </c>
      <c r="B8" s="191">
        <f>('MMM 20292030'!B8*$H$1)+'MMM 20292030'!B8</f>
        <v>500182.21601742093</v>
      </c>
      <c r="C8" s="191">
        <f>('MMM 20292030'!C8*$H$1)+'MMM 20292030'!C8</f>
        <v>581482.08850483154</v>
      </c>
      <c r="D8" s="191">
        <f>('MMM 20292030'!D8*$H$1)+'MMM 20292030'!D8</f>
        <v>648667.57014602935</v>
      </c>
      <c r="E8" s="191">
        <f>('MMM 20292030'!E8*$H$1)+'MMM 20292030'!E8</f>
        <v>670986.42710860237</v>
      </c>
      <c r="F8" s="191">
        <f>('MMM 20292030'!F8*$H$1)+'MMM 20292030'!F8</f>
        <v>738085.07111942687</v>
      </c>
      <c r="G8" s="191">
        <f>('MMM 20292030'!G8*$H$1)+'MMM 20292030'!G8</f>
        <v>746891.36908338731</v>
      </c>
      <c r="H8" s="191">
        <f>('MMM 20292030'!H8*$H$1)+'MMM 20292030'!H8</f>
        <v>760399.65119870775</v>
      </c>
      <c r="I8" s="191">
        <f>('MMM 20292030'!I8*$H$1)+'MMM 20292030'!I8</f>
        <v>648576.16964016808</v>
      </c>
      <c r="J8" s="191">
        <f>('MMM 20292030'!J8*$H$1)+'MMM 20292030'!J8</f>
        <v>697098.6150034829</v>
      </c>
      <c r="K8" s="191">
        <f>('MMM 20292030'!K8*$H$1)+'MMM 20292030'!K8</f>
        <v>830294.23506146821</v>
      </c>
      <c r="L8" s="191">
        <f>('MMM 20292030'!L8*$H$1)+'MMM 20292030'!L8</f>
        <v>956940.47711101535</v>
      </c>
      <c r="M8" s="191">
        <f>('MMM 20292030'!M8*$H$1)+'MMM 20292030'!M8</f>
        <v>956940.47711101535</v>
      </c>
      <c r="N8" s="237">
        <f t="shared" si="0"/>
        <v>8736544.3671055567</v>
      </c>
    </row>
    <row r="9" spans="1:14" ht="15" thickBot="1" x14ac:dyDescent="0.35">
      <c r="A9" s="4" t="s">
        <v>167</v>
      </c>
      <c r="B9" s="191">
        <f>('MMM 20292030'!B9*$H$1)+'MMM 20292030'!B9</f>
        <v>17128.072608803024</v>
      </c>
      <c r="C9" s="191">
        <f>('MMM 20292030'!C9*$H$1)+'MMM 20292030'!C9</f>
        <v>10526.306757925093</v>
      </c>
      <c r="D9" s="191">
        <f>('MMM 20292030'!D9*$H$1)+'MMM 20292030'!D9</f>
        <v>10526.306757925093</v>
      </c>
      <c r="E9" s="191">
        <f>('MMM 20292030'!E9*$H$1)+'MMM 20292030'!E9</f>
        <v>10186.899019690421</v>
      </c>
      <c r="F9" s="191">
        <f>('MMM 20292030'!F9*$H$1)+'MMM 20292030'!F9</f>
        <v>10526.306757925093</v>
      </c>
      <c r="G9" s="191">
        <f>('MMM 20292030'!G9*$H$1)+'MMM 20292030'!G9</f>
        <v>11662.540752348528</v>
      </c>
      <c r="H9" s="191">
        <f>('MMM 20292030'!H9*$H$1)+'MMM 20292030'!H9</f>
        <v>10480.743001269821</v>
      </c>
      <c r="I9" s="191">
        <f>('MMM 20292030'!I9*$H$1)+'MMM 20292030'!I9</f>
        <v>10480.743001269821</v>
      </c>
      <c r="J9" s="191">
        <f>('MMM 20292030'!J9*$H$1)+'MMM 20292030'!J9</f>
        <v>12119.547451940331</v>
      </c>
      <c r="K9" s="191">
        <f>('MMM 20292030'!K9*$H$1)+'MMM 20292030'!K9</f>
        <v>13417.238298925853</v>
      </c>
      <c r="L9" s="191">
        <f>('MMM 20292030'!L9*$H$1)+'MMM 20292030'!L9</f>
        <v>12982.740365514381</v>
      </c>
      <c r="M9" s="191">
        <f>('MMM 20292030'!M9*$H$1)+'MMM 20292030'!M9</f>
        <v>12410.826762624512</v>
      </c>
      <c r="N9" s="237">
        <f t="shared" si="0"/>
        <v>142448.27153616198</v>
      </c>
    </row>
    <row r="10" spans="1:14" ht="15" thickBot="1" x14ac:dyDescent="0.35">
      <c r="A10" s="1" t="s">
        <v>7</v>
      </c>
      <c r="B10" s="155">
        <f t="shared" ref="B10:L10" si="1">SUM(B4:B9)</f>
        <v>423299931.17378813</v>
      </c>
      <c r="C10" s="155">
        <f t="shared" si="1"/>
        <v>446702420.08019048</v>
      </c>
      <c r="D10" s="155">
        <f t="shared" si="1"/>
        <v>344310636.9422707</v>
      </c>
      <c r="E10" s="155">
        <f t="shared" si="1"/>
        <v>257723751.94296607</v>
      </c>
      <c r="F10" s="155">
        <f t="shared" si="1"/>
        <v>274811045.40555131</v>
      </c>
      <c r="G10" s="155">
        <f t="shared" si="1"/>
        <v>284909740.84441328</v>
      </c>
      <c r="H10" s="155">
        <f t="shared" si="1"/>
        <v>262236605.18613422</v>
      </c>
      <c r="I10" s="155">
        <f t="shared" si="1"/>
        <v>247403473.94992381</v>
      </c>
      <c r="J10" s="155">
        <f t="shared" si="1"/>
        <v>210183893.81605944</v>
      </c>
      <c r="K10" s="155">
        <f t="shared" si="1"/>
        <v>270514936.5625996</v>
      </c>
      <c r="L10" s="155">
        <f t="shared" si="1"/>
        <v>280313764.49113786</v>
      </c>
      <c r="M10" s="155">
        <f>SUM(M4:M9)</f>
        <v>369229449.92464584</v>
      </c>
      <c r="N10" s="155">
        <f>SUM(N4:N9)</f>
        <v>3671639650.3196807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3671639650.3196807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3671639650.3196807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231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47665</v>
      </c>
      <c r="C18" s="142">
        <f t="shared" si="2"/>
        <v>47696</v>
      </c>
      <c r="D18" s="142">
        <f t="shared" si="2"/>
        <v>47756</v>
      </c>
      <c r="E18" s="142">
        <f t="shared" si="2"/>
        <v>47757</v>
      </c>
      <c r="F18" s="142">
        <f t="shared" si="2"/>
        <v>47790</v>
      </c>
      <c r="G18" s="142">
        <f t="shared" si="2"/>
        <v>47821</v>
      </c>
      <c r="H18" s="142">
        <f t="shared" si="2"/>
        <v>47852</v>
      </c>
      <c r="I18" s="142">
        <f t="shared" si="2"/>
        <v>47883</v>
      </c>
      <c r="J18" s="142">
        <f t="shared" si="2"/>
        <v>47911</v>
      </c>
      <c r="K18" s="142">
        <f t="shared" si="2"/>
        <v>47942</v>
      </c>
      <c r="L18" s="142">
        <f t="shared" si="2"/>
        <v>47972</v>
      </c>
      <c r="M18" s="142">
        <f t="shared" si="2"/>
        <v>48003</v>
      </c>
      <c r="N18" s="236" t="s">
        <v>2</v>
      </c>
    </row>
    <row r="19" spans="1:14" ht="15" thickBot="1" x14ac:dyDescent="0.35">
      <c r="A19" s="2" t="s">
        <v>9</v>
      </c>
      <c r="B19" s="191">
        <f>('MMM 20292030'!B19*$H$1)+'MMM 20292030'!B19</f>
        <v>566326.90705973387</v>
      </c>
      <c r="C19" s="191">
        <f>('MMM 20292030'!C19*$H$1)+'MMM 20292030'!C19</f>
        <v>449257.76964475907</v>
      </c>
      <c r="D19" s="191">
        <f>('MMM 20292030'!D19*$H$1)+'MMM 20292030'!D19</f>
        <v>392399.33619885816</v>
      </c>
      <c r="E19" s="191">
        <f>('MMM 20292030'!E19*$H$1)+'MMM 20292030'!E19</f>
        <v>312812.80395778385</v>
      </c>
      <c r="F19" s="191">
        <f>('MMM 20292030'!F19*$H$1)+'MMM 20292030'!F19</f>
        <v>321926.75125620276</v>
      </c>
      <c r="G19" s="191">
        <f>('MMM 20292030'!G19*$H$1)+'MMM 20292030'!G19</f>
        <v>437581.52726630075</v>
      </c>
      <c r="H19" s="191">
        <f>('MMM 20292030'!H19*$H$1)+'MMM 20292030'!H19</f>
        <v>302694.12707644631</v>
      </c>
      <c r="I19" s="191">
        <f>('MMM 20292030'!I19*$H$1)+'MMM 20292030'!I19</f>
        <v>287663.18324115023</v>
      </c>
      <c r="J19" s="191">
        <f>('MMM 20292030'!J19*$H$1)+'MMM 20292030'!J19</f>
        <v>552665.88710992667</v>
      </c>
      <c r="K19" s="191">
        <f>('MMM 20292030'!K19*$H$1)+'MMM 20292030'!K19</f>
        <v>628510.29794728686</v>
      </c>
      <c r="L19" s="191">
        <f>('MMM 20292030'!L19*$H$1)+'MMM 20292030'!L19</f>
        <v>618942.22655301541</v>
      </c>
      <c r="M19" s="191">
        <f>('MMM 20292030'!M19*$H$1)+'MMM 20292030'!M19</f>
        <v>714065.00318273401</v>
      </c>
      <c r="N19" s="163">
        <f>SUM(B19:M19)</f>
        <v>5584845.8204941982</v>
      </c>
    </row>
    <row r="20" spans="1:14" ht="15" thickBot="1" x14ac:dyDescent="0.35">
      <c r="A20" s="3" t="s">
        <v>10</v>
      </c>
      <c r="B20" s="191">
        <f>('MMM 20292030'!B20*$H$1)+'MMM 20292030'!B20</f>
        <v>3368346.9374796208</v>
      </c>
      <c r="C20" s="191">
        <f>('MMM 20292030'!C20*$H$1)+'MMM 20292030'!C20</f>
        <v>3501815.16639585</v>
      </c>
      <c r="D20" s="191">
        <f>('MMM 20292030'!D20*$H$1)+'MMM 20292030'!D20</f>
        <v>2702204.8671781104</v>
      </c>
      <c r="E20" s="191">
        <f>('MMM 20292030'!E20*$H$1)+'MMM 20292030'!E20</f>
        <v>2104882.7109173727</v>
      </c>
      <c r="F20" s="191">
        <f>('MMM 20292030'!F20*$H$1)+'MMM 20292030'!F20</f>
        <v>2107532.5456086299</v>
      </c>
      <c r="G20" s="191">
        <f>('MMM 20292030'!G20*$H$1)+'MMM 20292030'!G20</f>
        <v>3019560.3971738927</v>
      </c>
      <c r="H20" s="191">
        <f>('MMM 20292030'!H20*$H$1)+'MMM 20292030'!H20</f>
        <v>2012053.5180422938</v>
      </c>
      <c r="I20" s="191">
        <f>('MMM 20292030'!I20*$H$1)+'MMM 20292030'!I20</f>
        <v>1901237.7169861479</v>
      </c>
      <c r="J20" s="191">
        <f>('MMM 20292030'!J20*$H$1)+'MMM 20292030'!J20</f>
        <v>1860879.6445452573</v>
      </c>
      <c r="K20" s="191">
        <f>('MMM 20292030'!K20*$H$1)+'MMM 20292030'!K20</f>
        <v>2107781.65893922</v>
      </c>
      <c r="L20" s="191">
        <f>('MMM 20292030'!L20*$H$1)+'MMM 20292030'!L20</f>
        <v>2203994.1317848857</v>
      </c>
      <c r="M20" s="191">
        <f>('MMM 20292030'!M20*$H$1)+'MMM 20292030'!M20</f>
        <v>3265819.9499165621</v>
      </c>
      <c r="N20" s="163">
        <f t="shared" ref="N20:N22" si="3">SUM(B20:M20)</f>
        <v>30156109.244967841</v>
      </c>
    </row>
    <row r="21" spans="1:14" ht="15" thickBot="1" x14ac:dyDescent="0.35">
      <c r="A21" s="3" t="s">
        <v>11</v>
      </c>
      <c r="B21" s="191">
        <f>('MMM 20292030'!B21*$H$1)+'MMM 20292030'!B21</f>
        <v>1217261.498343244</v>
      </c>
      <c r="C21" s="191">
        <f>('MMM 20292030'!C21*$H$1)+'MMM 20292030'!C21</f>
        <v>1211188.5450621177</v>
      </c>
      <c r="D21" s="191">
        <f>('MMM 20292030'!D21*$H$1)+'MMM 20292030'!D21</f>
        <v>920592.23886008689</v>
      </c>
      <c r="E21" s="191">
        <f>('MMM 20292030'!E21*$H$1)+'MMM 20292030'!E21</f>
        <v>741912.84266711841</v>
      </c>
      <c r="F21" s="191">
        <f>('MMM 20292030'!F21*$H$1)+'MMM 20292030'!F21</f>
        <v>719751.35941012856</v>
      </c>
      <c r="G21" s="191">
        <f>('MMM 20292030'!G21*$H$1)+'MMM 20292030'!G21</f>
        <v>1092007.5112766142</v>
      </c>
      <c r="H21" s="191">
        <f>('MMM 20292030'!H21*$H$1)+'MMM 20292030'!H21</f>
        <v>737560.88642338978</v>
      </c>
      <c r="I21" s="191">
        <f>('MMM 20292030'!I21*$H$1)+'MMM 20292030'!I21</f>
        <v>689795.30185164209</v>
      </c>
      <c r="J21" s="191">
        <f>('MMM 20292030'!J21*$H$1)+'MMM 20292030'!J21</f>
        <v>648016.03531432513</v>
      </c>
      <c r="K21" s="191">
        <f>('MMM 20292030'!K21*$H$1)+'MMM 20292030'!K21</f>
        <v>699265.01229318918</v>
      </c>
      <c r="L21" s="191">
        <f>('MMM 20292030'!L21*$H$1)+'MMM 20292030'!L21</f>
        <v>770671.01769624779</v>
      </c>
      <c r="M21" s="191">
        <f>('MMM 20292030'!M21*$H$1)+'MMM 20292030'!M21</f>
        <v>1115728.683886769</v>
      </c>
      <c r="N21" s="163">
        <f t="shared" si="3"/>
        <v>10563750.933084872</v>
      </c>
    </row>
    <row r="22" spans="1:14" ht="15" thickBot="1" x14ac:dyDescent="0.35">
      <c r="A22" s="3" t="s">
        <v>12</v>
      </c>
      <c r="B22" s="191">
        <f>('MMM 20292030'!B22*$H$1)+'MMM 20292030'!B22</f>
        <v>215431.91528947293</v>
      </c>
      <c r="C22" s="191">
        <f>('MMM 20292030'!C22*$H$1)+'MMM 20292030'!C22</f>
        <v>216958.32063689243</v>
      </c>
      <c r="D22" s="191">
        <f>('MMM 20292030'!D22*$H$1)+'MMM 20292030'!D22</f>
        <v>155755.60073796954</v>
      </c>
      <c r="E22" s="191">
        <f>('MMM 20292030'!E22*$H$1)+'MMM 20292030'!E22</f>
        <v>212372.44877625792</v>
      </c>
      <c r="F22" s="191">
        <f>('MMM 20292030'!F22*$H$1)+'MMM 20292030'!F22</f>
        <v>220725.25384474179</v>
      </c>
      <c r="G22" s="191">
        <f>('MMM 20292030'!G22*$H$1)+'MMM 20292030'!G22</f>
        <v>344107.88997683401</v>
      </c>
      <c r="H22" s="191">
        <f>('MMM 20292030'!H22*$H$1)+'MMM 20292030'!H22</f>
        <v>212605.55841515731</v>
      </c>
      <c r="I22" s="191">
        <f>('MMM 20292030'!I22*$H$1)+'MMM 20292030'!I22</f>
        <v>197371.62511904186</v>
      </c>
      <c r="J22" s="191">
        <f>('MMM 20292030'!J22*$H$1)+'MMM 20292030'!J22</f>
        <v>139678.66206220217</v>
      </c>
      <c r="K22" s="191">
        <f>('MMM 20292030'!K22*$H$1)+'MMM 20292030'!K22</f>
        <v>162284.78276791624</v>
      </c>
      <c r="L22" s="191">
        <f>('MMM 20292030'!L22*$H$1)+'MMM 20292030'!L22</f>
        <v>176873.74007334979</v>
      </c>
      <c r="M22" s="191">
        <f>('MMM 20292030'!M22*$H$1)+'MMM 20292030'!M22</f>
        <v>239389.24484777209</v>
      </c>
      <c r="N22" s="163">
        <f t="shared" si="3"/>
        <v>2493555.0425476083</v>
      </c>
    </row>
    <row r="23" spans="1:14" ht="15" thickBot="1" x14ac:dyDescent="0.35">
      <c r="A23" s="1" t="s">
        <v>7</v>
      </c>
      <c r="B23" s="155">
        <f t="shared" ref="B23:M23" si="4">SUM(B19:B22)</f>
        <v>5367367.2581720715</v>
      </c>
      <c r="C23" s="155">
        <f t="shared" si="4"/>
        <v>5379219.80173962</v>
      </c>
      <c r="D23" s="155">
        <f t="shared" si="4"/>
        <v>4170952.0429750248</v>
      </c>
      <c r="E23" s="155">
        <f t="shared" si="4"/>
        <v>3371980.8063185336</v>
      </c>
      <c r="F23" s="155">
        <f t="shared" si="4"/>
        <v>3369935.910119703</v>
      </c>
      <c r="G23" s="155">
        <f t="shared" si="4"/>
        <v>4893257.3256936418</v>
      </c>
      <c r="H23" s="155">
        <f t="shared" si="4"/>
        <v>3264914.0899572875</v>
      </c>
      <c r="I23" s="155">
        <f t="shared" si="4"/>
        <v>3076067.827197982</v>
      </c>
      <c r="J23" s="155">
        <f t="shared" si="4"/>
        <v>3201240.2290317114</v>
      </c>
      <c r="K23" s="155">
        <f t="shared" si="4"/>
        <v>3597841.751947612</v>
      </c>
      <c r="L23" s="155">
        <f t="shared" si="4"/>
        <v>3770481.1161074988</v>
      </c>
      <c r="M23" s="155">
        <f t="shared" si="4"/>
        <v>5335002.8818338364</v>
      </c>
      <c r="N23" s="155">
        <f>SUM(N19:N22)</f>
        <v>48798261.041094519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48798261.041094519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48798261.041094519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3720437911.360775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3720437911.360775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C607-7DD2-44B9-AFBC-72E8C3F319A6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232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48030</v>
      </c>
      <c r="C3" s="142">
        <v>48061</v>
      </c>
      <c r="D3" s="142">
        <v>48092</v>
      </c>
      <c r="E3" s="142">
        <v>48122</v>
      </c>
      <c r="F3" s="142">
        <v>48153</v>
      </c>
      <c r="G3" s="142">
        <v>48183</v>
      </c>
      <c r="H3" s="142">
        <v>48214</v>
      </c>
      <c r="I3" s="142">
        <v>48245</v>
      </c>
      <c r="J3" s="142">
        <v>48274</v>
      </c>
      <c r="K3" s="142">
        <v>48305</v>
      </c>
      <c r="L3" s="142">
        <v>48335</v>
      </c>
      <c r="M3" s="142">
        <v>48366</v>
      </c>
      <c r="N3" s="236" t="s">
        <v>2</v>
      </c>
    </row>
    <row r="4" spans="1:14" ht="15" thickBot="1" x14ac:dyDescent="0.35">
      <c r="A4" s="2" t="s">
        <v>3</v>
      </c>
      <c r="B4" s="191">
        <f>('MMM 20302031'!B4*$H$1)+'MMM 20302031'!B4</f>
        <v>381269302.62977767</v>
      </c>
      <c r="C4" s="191">
        <f>('MMM 20302031'!C4*$H$1)+'MMM 20302031'!C4</f>
        <v>403601107.51963246</v>
      </c>
      <c r="D4" s="191">
        <f>('MMM 20302031'!D4*$H$1)+'MMM 20302031'!D4</f>
        <v>256138090.90616205</v>
      </c>
      <c r="E4" s="191">
        <f>('MMM 20302031'!E4*$H$1)+'MMM 20302031'!E4</f>
        <v>231471709.74960738</v>
      </c>
      <c r="F4" s="191">
        <f>('MMM 20302031'!F4*$H$1)+'MMM 20302031'!F4</f>
        <v>243366487.03690562</v>
      </c>
      <c r="G4" s="191">
        <f>('MMM 20302031'!G4*$H$1)+'MMM 20302031'!G4</f>
        <v>237269507.07042012</v>
      </c>
      <c r="H4" s="191">
        <f>('MMM 20302031'!H4*$H$1)+'MMM 20302031'!H4</f>
        <v>232822911.51888081</v>
      </c>
      <c r="I4" s="191">
        <f>('MMM 20302031'!I4*$H$1)+'MMM 20302031'!I4</f>
        <v>220237216.77929223</v>
      </c>
      <c r="J4" s="191">
        <f>('MMM 20302031'!J4*$H$1)+'MMM 20302031'!J4</f>
        <v>178023758.66622293</v>
      </c>
      <c r="K4" s="191">
        <f>('MMM 20302031'!K4*$H$1)+'MMM 20302031'!K4</f>
        <v>238839763.59760004</v>
      </c>
      <c r="L4" s="191">
        <f>('MMM 20302031'!L4*$H$1)+'MMM 20302031'!L4</f>
        <v>249865456.50574365</v>
      </c>
      <c r="M4" s="191">
        <f>('MMM 20302031'!M4*$H$1)+'MMM 20302031'!M4</f>
        <v>324652444.99739218</v>
      </c>
      <c r="N4" s="237">
        <f>SUM(B4:M4)</f>
        <v>3197557756.9776368</v>
      </c>
    </row>
    <row r="5" spans="1:14" ht="15" thickBot="1" x14ac:dyDescent="0.35">
      <c r="A5" s="3" t="s">
        <v>4</v>
      </c>
      <c r="B5" s="191">
        <f>('MMM 20302031'!B5*$H$1)+'MMM 20302031'!B5</f>
        <v>54170377.712225921</v>
      </c>
      <c r="C5" s="191">
        <f>('MMM 20302031'!C5*$H$1)+'MMM 20302031'!C5</f>
        <v>56556042.645267248</v>
      </c>
      <c r="D5" s="191">
        <f>('MMM 20302031'!D5*$H$1)+'MMM 20302031'!D5</f>
        <v>46426551.270895816</v>
      </c>
      <c r="E5" s="191">
        <f>('MMM 20302031'!E5*$H$1)+'MMM 20302031'!E5</f>
        <v>33779411.908094391</v>
      </c>
      <c r="F5" s="191">
        <f>('MMM 20302031'!F5*$H$1)+'MMM 20302031'!F5</f>
        <v>36972713.795176946</v>
      </c>
      <c r="G5" s="191">
        <f>('MMM 20302031'!G5*$H$1)+'MMM 20302031'!G5</f>
        <v>52173713.692739658</v>
      </c>
      <c r="H5" s="191">
        <f>('MMM 20302031'!H5*$H$1)+'MMM 20302031'!H5</f>
        <v>35767073.094880119</v>
      </c>
      <c r="I5" s="191">
        <f>('MMM 20302031'!I5*$H$1)+'MMM 20302031'!I5</f>
        <v>33412223.833810095</v>
      </c>
      <c r="J5" s="191">
        <f>('MMM 20302031'!J5*$H$1)+'MMM 20302031'!J5</f>
        <v>36256894.321418829</v>
      </c>
      <c r="K5" s="191">
        <f>('MMM 20302031'!K5*$H$1)+'MMM 20302031'!K5</f>
        <v>37802021.15745984</v>
      </c>
      <c r="L5" s="191">
        <f>('MMM 20302031'!L5*$H$1)+'MMM 20302031'!L5</f>
        <v>36516159.273667559</v>
      </c>
      <c r="M5" s="191">
        <f>('MMM 20302031'!M5*$H$1)+'MMM 20302031'!M5</f>
        <v>51063967.748470575</v>
      </c>
      <c r="N5" s="237">
        <f t="shared" ref="N5:N9" si="0">SUM(B5:M5)</f>
        <v>510897150.45410693</v>
      </c>
    </row>
    <row r="6" spans="1:14" ht="15" thickBot="1" x14ac:dyDescent="0.35">
      <c r="A6" s="3" t="s">
        <v>5</v>
      </c>
      <c r="B6" s="191">
        <f>('MMM 20302031'!B6*$H$1)+'MMM 20302031'!B6</f>
        <v>2760757.7944396292</v>
      </c>
      <c r="C6" s="191">
        <f>('MMM 20302031'!C6*$H$1)+'MMM 20302031'!C6</f>
        <v>2368677.0008983719</v>
      </c>
      <c r="D6" s="191">
        <f>('MMM 20302031'!D6*$H$1)+'MMM 20302031'!D6</f>
        <v>53457456.189838044</v>
      </c>
      <c r="E6" s="191">
        <f>('MMM 20302031'!E6*$H$1)+'MMM 20302031'!E6</f>
        <v>745503.90256920201</v>
      </c>
      <c r="F6" s="191">
        <f>('MMM 20302031'!F6*$H$1)+'MMM 20302031'!F6</f>
        <v>3243325.8173485138</v>
      </c>
      <c r="G6" s="191">
        <f>('MMM 20302031'!G6*$H$1)+'MMM 20302031'!G6</f>
        <v>3120595.8371167337</v>
      </c>
      <c r="H6" s="191">
        <f>('MMM 20302031'!H6*$H$1)+'MMM 20302031'!H6</f>
        <v>1619973.374743293</v>
      </c>
      <c r="I6" s="191">
        <f>('MMM 20302031'!I6*$H$1)+'MMM 20302031'!I6</f>
        <v>1479055.8580933805</v>
      </c>
      <c r="J6" s="191">
        <f>('MMM 20302031'!J6*$H$1)+'MMM 20302031'!J6</f>
        <v>2071328.3539187352</v>
      </c>
      <c r="K6" s="191">
        <f>('MMM 20302031'!K6*$H$1)+'MMM 20302031'!K6</f>
        <v>2402924.9695856571</v>
      </c>
      <c r="L6" s="191">
        <f>('MMM 20302031'!L6*$H$1)+'MMM 20302031'!L6</f>
        <v>2542106.9523208579</v>
      </c>
      <c r="M6" s="191">
        <f>('MMM 20302031'!M6*$H$1)+'MMM 20302031'!M6</f>
        <v>5125137.3824306699</v>
      </c>
      <c r="N6" s="237">
        <f t="shared" si="0"/>
        <v>80936843.433303088</v>
      </c>
    </row>
    <row r="7" spans="1:14" ht="15" thickBot="1" x14ac:dyDescent="0.35">
      <c r="A7" s="3" t="s">
        <v>6</v>
      </c>
      <c r="B7" s="191">
        <f>('MMM 20302031'!B7*$H$1)+'MMM 20302031'!B7</f>
        <v>3607400.6885509542</v>
      </c>
      <c r="C7" s="191">
        <f>('MMM 20302031'!C7*$H$1)+'MMM 20302031'!C7</f>
        <v>3659553.0449513816</v>
      </c>
      <c r="D7" s="191">
        <f>('MMM 20302031'!D7*$H$1)+'MMM 20302031'!D7</f>
        <v>3093659.6364123318</v>
      </c>
      <c r="E7" s="191">
        <f>('MMM 20302031'!E7*$H$1)+'MMM 20302031'!E7</f>
        <v>2612869.0943245138</v>
      </c>
      <c r="F7" s="191">
        <f>('MMM 20302031'!F7*$H$1)+'MMM 20302031'!F7</f>
        <v>2812716.9094882319</v>
      </c>
      <c r="G7" s="191">
        <f>('MMM 20302031'!G7*$H$1)+'MMM 20302031'!G7</f>
        <v>4374173.7463570107</v>
      </c>
      <c r="H7" s="191">
        <f>('MMM 20302031'!H7*$H$1)+'MMM 20302031'!H7</f>
        <v>3021724.4190670191</v>
      </c>
      <c r="I7" s="191">
        <f>('MMM 20302031'!I7*$H$1)+'MMM 20302031'!I7</f>
        <v>2719419.3327644197</v>
      </c>
      <c r="J7" s="191">
        <f>('MMM 20302031'!J7*$H$1)+'MMM 20302031'!J7</f>
        <v>2549054.7164556975</v>
      </c>
      <c r="K7" s="191">
        <f>('MMM 20302031'!K7*$H$1)+'MMM 20302031'!K7</f>
        <v>2761720.4936094359</v>
      </c>
      <c r="L7" s="191">
        <f>('MMM 20302031'!L7*$H$1)+'MMM 20302031'!L7</f>
        <v>2990591.3992440305</v>
      </c>
      <c r="M7" s="191">
        <f>('MMM 20302031'!M7*$H$1)+'MMM 20302031'!M7</f>
        <v>3990252.9304134808</v>
      </c>
      <c r="N7" s="237">
        <f t="shared" si="0"/>
        <v>38193136.411638513</v>
      </c>
    </row>
    <row r="8" spans="1:14" ht="15" thickBot="1" x14ac:dyDescent="0.35">
      <c r="A8" s="3" t="s">
        <v>63</v>
      </c>
      <c r="B8" s="191">
        <f>('MMM 20302031'!B8*$H$1)+'MMM 20302031'!B8</f>
        <v>522690.41573820484</v>
      </c>
      <c r="C8" s="191">
        <f>('MMM 20302031'!C8*$H$1)+'MMM 20302031'!C8</f>
        <v>607648.782487549</v>
      </c>
      <c r="D8" s="191">
        <f>('MMM 20302031'!D8*$H$1)+'MMM 20302031'!D8</f>
        <v>677857.61080260063</v>
      </c>
      <c r="E8" s="191">
        <f>('MMM 20302031'!E8*$H$1)+'MMM 20302031'!E8</f>
        <v>701180.81632848945</v>
      </c>
      <c r="F8" s="191">
        <f>('MMM 20302031'!F8*$H$1)+'MMM 20302031'!F8</f>
        <v>771298.89931980101</v>
      </c>
      <c r="G8" s="191">
        <f>('MMM 20302031'!G8*$H$1)+'MMM 20302031'!G8</f>
        <v>780501.48069213971</v>
      </c>
      <c r="H8" s="191">
        <f>('MMM 20302031'!H8*$H$1)+'MMM 20302031'!H8</f>
        <v>794617.63550264959</v>
      </c>
      <c r="I8" s="191">
        <f>('MMM 20302031'!I8*$H$1)+'MMM 20302031'!I8</f>
        <v>677762.09727397561</v>
      </c>
      <c r="J8" s="191">
        <f>('MMM 20302031'!J8*$H$1)+'MMM 20302031'!J8</f>
        <v>728468.05267863965</v>
      </c>
      <c r="K8" s="191">
        <f>('MMM 20302031'!K8*$H$1)+'MMM 20302031'!K8</f>
        <v>867657.4756392343</v>
      </c>
      <c r="L8" s="191">
        <f>('MMM 20302031'!L8*$H$1)+'MMM 20302031'!L8</f>
        <v>1000002.798581011</v>
      </c>
      <c r="M8" s="191">
        <f>('MMM 20302031'!M8*$H$1)+'MMM 20302031'!M8</f>
        <v>1000002.798581011</v>
      </c>
      <c r="N8" s="237">
        <f t="shared" si="0"/>
        <v>9129688.8636253066</v>
      </c>
    </row>
    <row r="9" spans="1:14" ht="15" thickBot="1" x14ac:dyDescent="0.35">
      <c r="A9" s="4" t="s">
        <v>167</v>
      </c>
      <c r="B9" s="191">
        <f>('MMM 20302031'!B9*$H$1)+'MMM 20302031'!B9</f>
        <v>17898.835876199159</v>
      </c>
      <c r="C9" s="191">
        <f>('MMM 20302031'!C9*$H$1)+'MMM 20302031'!C9</f>
        <v>10999.990562031722</v>
      </c>
      <c r="D9" s="191">
        <f>('MMM 20302031'!D9*$H$1)+'MMM 20302031'!D9</f>
        <v>10999.990562031722</v>
      </c>
      <c r="E9" s="191">
        <f>('MMM 20302031'!E9*$H$1)+'MMM 20302031'!E9</f>
        <v>10645.309475576491</v>
      </c>
      <c r="F9" s="191">
        <f>('MMM 20302031'!F9*$H$1)+'MMM 20302031'!F9</f>
        <v>10999.990562031722</v>
      </c>
      <c r="G9" s="191">
        <f>('MMM 20302031'!G9*$H$1)+'MMM 20302031'!G9</f>
        <v>12187.355086204212</v>
      </c>
      <c r="H9" s="191">
        <f>('MMM 20302031'!H9*$H$1)+'MMM 20302031'!H9</f>
        <v>10952.376436326962</v>
      </c>
      <c r="I9" s="191">
        <f>('MMM 20302031'!I9*$H$1)+'MMM 20302031'!I9</f>
        <v>10952.376436326962</v>
      </c>
      <c r="J9" s="191">
        <f>('MMM 20302031'!J9*$H$1)+'MMM 20302031'!J9</f>
        <v>12664.927087277645</v>
      </c>
      <c r="K9" s="191">
        <f>('MMM 20302031'!K9*$H$1)+'MMM 20302031'!K9</f>
        <v>14021.014022377516</v>
      </c>
      <c r="L9" s="191">
        <f>('MMM 20302031'!L9*$H$1)+'MMM 20302031'!L9</f>
        <v>13566.963681962528</v>
      </c>
      <c r="M9" s="191">
        <f>('MMM 20302031'!M9*$H$1)+'MMM 20302031'!M9</f>
        <v>12969.313966942616</v>
      </c>
      <c r="N9" s="237">
        <f t="shared" si="0"/>
        <v>148858.44375528925</v>
      </c>
    </row>
    <row r="10" spans="1:14" ht="15" thickBot="1" x14ac:dyDescent="0.35">
      <c r="A10" s="1" t="s">
        <v>7</v>
      </c>
      <c r="B10" s="155">
        <f t="shared" ref="B10:L10" si="1">SUM(B4:B9)</f>
        <v>442348428.0766086</v>
      </c>
      <c r="C10" s="155">
        <f t="shared" si="1"/>
        <v>466804028.98379904</v>
      </c>
      <c r="D10" s="155">
        <f t="shared" si="1"/>
        <v>359804615.60467285</v>
      </c>
      <c r="E10" s="155">
        <f t="shared" si="1"/>
        <v>269321320.78039956</v>
      </c>
      <c r="F10" s="155">
        <f t="shared" si="1"/>
        <v>287177542.44880122</v>
      </c>
      <c r="G10" s="155">
        <f t="shared" si="1"/>
        <v>297730679.18241185</v>
      </c>
      <c r="H10" s="155">
        <f t="shared" si="1"/>
        <v>274037252.41951025</v>
      </c>
      <c r="I10" s="155">
        <f t="shared" si="1"/>
        <v>258536630.27767041</v>
      </c>
      <c r="J10" s="155">
        <f t="shared" si="1"/>
        <v>219642169.0377821</v>
      </c>
      <c r="K10" s="155">
        <f t="shared" si="1"/>
        <v>282688108.70791656</v>
      </c>
      <c r="L10" s="155">
        <f t="shared" si="1"/>
        <v>292927883.89323902</v>
      </c>
      <c r="M10" s="155">
        <f>SUM(M4:M9)</f>
        <v>385844775.17125481</v>
      </c>
      <c r="N10" s="155">
        <f>SUM(N4:N9)</f>
        <v>3836863434.5840659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3836863434.5840659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3836863434.5840659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233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48030</v>
      </c>
      <c r="C18" s="142">
        <f t="shared" si="2"/>
        <v>48061</v>
      </c>
      <c r="D18" s="142">
        <f t="shared" si="2"/>
        <v>48092</v>
      </c>
      <c r="E18" s="142">
        <f t="shared" si="2"/>
        <v>48122</v>
      </c>
      <c r="F18" s="142">
        <f t="shared" si="2"/>
        <v>48153</v>
      </c>
      <c r="G18" s="142">
        <f t="shared" si="2"/>
        <v>48183</v>
      </c>
      <c r="H18" s="142">
        <f t="shared" si="2"/>
        <v>48214</v>
      </c>
      <c r="I18" s="142">
        <f t="shared" si="2"/>
        <v>48245</v>
      </c>
      <c r="J18" s="142">
        <f t="shared" si="2"/>
        <v>48274</v>
      </c>
      <c r="K18" s="142">
        <f t="shared" si="2"/>
        <v>48305</v>
      </c>
      <c r="L18" s="142">
        <f t="shared" si="2"/>
        <v>48335</v>
      </c>
      <c r="M18" s="142">
        <f t="shared" si="2"/>
        <v>48366</v>
      </c>
      <c r="N18" s="236" t="s">
        <v>2</v>
      </c>
    </row>
    <row r="19" spans="1:14" ht="15" thickBot="1" x14ac:dyDescent="0.35">
      <c r="A19" s="2" t="s">
        <v>9</v>
      </c>
      <c r="B19" s="191">
        <f>('MMM 20302031'!B19*$H$1)+'MMM 20302031'!B19</f>
        <v>591811.6178774219</v>
      </c>
      <c r="C19" s="191">
        <f>('MMM 20302031'!C19*$H$1)+'MMM 20302031'!C19</f>
        <v>469474.3692787732</v>
      </c>
      <c r="D19" s="191">
        <f>('MMM 20302031'!D19*$H$1)+'MMM 20302031'!D19</f>
        <v>410057.30632780679</v>
      </c>
      <c r="E19" s="191">
        <f>('MMM 20302031'!E19*$H$1)+'MMM 20302031'!E19</f>
        <v>326889.3801358841</v>
      </c>
      <c r="F19" s="191">
        <f>('MMM 20302031'!F19*$H$1)+'MMM 20302031'!F19</f>
        <v>336413.45506273187</v>
      </c>
      <c r="G19" s="191">
        <f>('MMM 20302031'!G19*$H$1)+'MMM 20302031'!G19</f>
        <v>457272.69599328429</v>
      </c>
      <c r="H19" s="191">
        <f>('MMM 20302031'!H19*$H$1)+'MMM 20302031'!H19</f>
        <v>316315.3627948864</v>
      </c>
      <c r="I19" s="191">
        <f>('MMM 20302031'!I19*$H$1)+'MMM 20302031'!I19</f>
        <v>300608.02648700197</v>
      </c>
      <c r="J19" s="191">
        <f>('MMM 20302031'!J19*$H$1)+'MMM 20302031'!J19</f>
        <v>577535.85202987341</v>
      </c>
      <c r="K19" s="191">
        <f>('MMM 20302031'!K19*$H$1)+'MMM 20302031'!K19</f>
        <v>656793.26135491475</v>
      </c>
      <c r="L19" s="191">
        <f>('MMM 20302031'!L19*$H$1)+'MMM 20302031'!L19</f>
        <v>646794.62674790109</v>
      </c>
      <c r="M19" s="191">
        <f>('MMM 20302031'!M19*$H$1)+'MMM 20302031'!M19</f>
        <v>746197.92832595704</v>
      </c>
      <c r="N19" s="163">
        <f>SUM(B19:M19)</f>
        <v>5836163.8824164364</v>
      </c>
    </row>
    <row r="20" spans="1:14" ht="15" thickBot="1" x14ac:dyDescent="0.35">
      <c r="A20" s="3" t="s">
        <v>10</v>
      </c>
      <c r="B20" s="191">
        <f>('MMM 20302031'!B20*$H$1)+'MMM 20302031'!B20</f>
        <v>3519922.5496662036</v>
      </c>
      <c r="C20" s="191">
        <f>('MMM 20302031'!C20*$H$1)+'MMM 20302031'!C20</f>
        <v>3659396.8488836633</v>
      </c>
      <c r="D20" s="191">
        <f>('MMM 20302031'!D20*$H$1)+'MMM 20302031'!D20</f>
        <v>2823804.0862011253</v>
      </c>
      <c r="E20" s="191">
        <f>('MMM 20302031'!E20*$H$1)+'MMM 20302031'!E20</f>
        <v>2199602.4329086547</v>
      </c>
      <c r="F20" s="191">
        <f>('MMM 20302031'!F20*$H$1)+'MMM 20302031'!F20</f>
        <v>2202371.5101610185</v>
      </c>
      <c r="G20" s="191">
        <f>('MMM 20302031'!G20*$H$1)+'MMM 20302031'!G20</f>
        <v>3155440.6150467177</v>
      </c>
      <c r="H20" s="191">
        <f>('MMM 20302031'!H20*$H$1)+'MMM 20302031'!H20</f>
        <v>2102595.9263541969</v>
      </c>
      <c r="I20" s="191">
        <f>('MMM 20302031'!I20*$H$1)+'MMM 20302031'!I20</f>
        <v>1986793.4142505245</v>
      </c>
      <c r="J20" s="191">
        <f>('MMM 20302031'!J20*$H$1)+'MMM 20302031'!J20</f>
        <v>1944619.2285497938</v>
      </c>
      <c r="K20" s="191">
        <f>('MMM 20302031'!K20*$H$1)+'MMM 20302031'!K20</f>
        <v>2202631.8335914849</v>
      </c>
      <c r="L20" s="191">
        <f>('MMM 20302031'!L20*$H$1)+'MMM 20302031'!L20</f>
        <v>2303173.8677152055</v>
      </c>
      <c r="M20" s="191">
        <f>('MMM 20302031'!M20*$H$1)+'MMM 20302031'!M20</f>
        <v>3412781.8476628074</v>
      </c>
      <c r="N20" s="163">
        <f t="shared" ref="N20:N22" si="3">SUM(B20:M20)</f>
        <v>31513134.160991389</v>
      </c>
    </row>
    <row r="21" spans="1:14" ht="15" thickBot="1" x14ac:dyDescent="0.35">
      <c r="A21" s="3" t="s">
        <v>11</v>
      </c>
      <c r="B21" s="191">
        <f>('MMM 20302031'!B21*$H$1)+'MMM 20302031'!B21</f>
        <v>1272038.26576869</v>
      </c>
      <c r="C21" s="191">
        <f>('MMM 20302031'!C21*$H$1)+'MMM 20302031'!C21</f>
        <v>1265692.0295899131</v>
      </c>
      <c r="D21" s="191">
        <f>('MMM 20302031'!D21*$H$1)+'MMM 20302031'!D21</f>
        <v>962018.88960879075</v>
      </c>
      <c r="E21" s="191">
        <f>('MMM 20302031'!E21*$H$1)+'MMM 20302031'!E21</f>
        <v>775298.92058713874</v>
      </c>
      <c r="F21" s="191">
        <f>('MMM 20302031'!F21*$H$1)+'MMM 20302031'!F21</f>
        <v>752140.17058358435</v>
      </c>
      <c r="G21" s="191">
        <f>('MMM 20302031'!G21*$H$1)+'MMM 20302031'!G21</f>
        <v>1141147.8492840617</v>
      </c>
      <c r="H21" s="191">
        <f>('MMM 20302031'!H21*$H$1)+'MMM 20302031'!H21</f>
        <v>770751.12631244236</v>
      </c>
      <c r="I21" s="191">
        <f>('MMM 20302031'!I21*$H$1)+'MMM 20302031'!I21</f>
        <v>720836.09043496603</v>
      </c>
      <c r="J21" s="191">
        <f>('MMM 20302031'!J21*$H$1)+'MMM 20302031'!J21</f>
        <v>677176.7569034698</v>
      </c>
      <c r="K21" s="191">
        <f>('MMM 20302031'!K21*$H$1)+'MMM 20302031'!K21</f>
        <v>730731.93784638273</v>
      </c>
      <c r="L21" s="191">
        <f>('MMM 20302031'!L21*$H$1)+'MMM 20302031'!L21</f>
        <v>805351.21349257894</v>
      </c>
      <c r="M21" s="191">
        <f>('MMM 20302031'!M21*$H$1)+'MMM 20302031'!M21</f>
        <v>1165936.4746616737</v>
      </c>
      <c r="N21" s="163">
        <f t="shared" si="3"/>
        <v>11039119.725073691</v>
      </c>
    </row>
    <row r="22" spans="1:14" ht="15" thickBot="1" x14ac:dyDescent="0.35">
      <c r="A22" s="3" t="s">
        <v>12</v>
      </c>
      <c r="B22" s="191">
        <f>('MMM 20302031'!B22*$H$1)+'MMM 20302031'!B22</f>
        <v>225126.35147749921</v>
      </c>
      <c r="C22" s="191">
        <f>('MMM 20302031'!C22*$H$1)+'MMM 20302031'!C22</f>
        <v>226721.4450655526</v>
      </c>
      <c r="D22" s="191">
        <f>('MMM 20302031'!D22*$H$1)+'MMM 20302031'!D22</f>
        <v>162764.60277117818</v>
      </c>
      <c r="E22" s="191">
        <f>('MMM 20302031'!E22*$H$1)+'MMM 20302031'!E22</f>
        <v>221929.20897118954</v>
      </c>
      <c r="F22" s="191">
        <f>('MMM 20302031'!F22*$H$1)+'MMM 20302031'!F22</f>
        <v>230657.89026775517</v>
      </c>
      <c r="G22" s="191">
        <f>('MMM 20302031'!G22*$H$1)+'MMM 20302031'!G22</f>
        <v>359592.74502579152</v>
      </c>
      <c r="H22" s="191">
        <f>('MMM 20302031'!H22*$H$1)+'MMM 20302031'!H22</f>
        <v>222172.8085438394</v>
      </c>
      <c r="I22" s="191">
        <f>('MMM 20302031'!I22*$H$1)+'MMM 20302031'!I22</f>
        <v>206253.34824939872</v>
      </c>
      <c r="J22" s="191">
        <f>('MMM 20302031'!J22*$H$1)+'MMM 20302031'!J22</f>
        <v>145964.20185500127</v>
      </c>
      <c r="K22" s="191">
        <f>('MMM 20302031'!K22*$H$1)+'MMM 20302031'!K22</f>
        <v>169587.59799247247</v>
      </c>
      <c r="L22" s="191">
        <f>('MMM 20302031'!L22*$H$1)+'MMM 20302031'!L22</f>
        <v>184833.05837665053</v>
      </c>
      <c r="M22" s="191">
        <f>('MMM 20302031'!M22*$H$1)+'MMM 20302031'!M22</f>
        <v>250161.76086592182</v>
      </c>
      <c r="N22" s="163">
        <f t="shared" si="3"/>
        <v>2605765.0194622502</v>
      </c>
    </row>
    <row r="23" spans="1:14" ht="15" thickBot="1" x14ac:dyDescent="0.35">
      <c r="A23" s="1" t="s">
        <v>7</v>
      </c>
      <c r="B23" s="155">
        <f t="shared" ref="B23:M23" si="4">SUM(B19:B22)</f>
        <v>5608898.7847898146</v>
      </c>
      <c r="C23" s="155">
        <f t="shared" si="4"/>
        <v>5621284.6928179022</v>
      </c>
      <c r="D23" s="155">
        <f t="shared" si="4"/>
        <v>4358644.8849089006</v>
      </c>
      <c r="E23" s="155">
        <f t="shared" si="4"/>
        <v>3523719.9426028668</v>
      </c>
      <c r="F23" s="155">
        <f t="shared" si="4"/>
        <v>3521583.0260750898</v>
      </c>
      <c r="G23" s="155">
        <f t="shared" si="4"/>
        <v>5113453.9053498544</v>
      </c>
      <c r="H23" s="155">
        <f t="shared" si="4"/>
        <v>3411835.2240053648</v>
      </c>
      <c r="I23" s="155">
        <f t="shared" si="4"/>
        <v>3214490.8794218912</v>
      </c>
      <c r="J23" s="155">
        <f t="shared" si="4"/>
        <v>3345296.039338138</v>
      </c>
      <c r="K23" s="155">
        <f t="shared" si="4"/>
        <v>3759744.6307852548</v>
      </c>
      <c r="L23" s="155">
        <f t="shared" si="4"/>
        <v>3940152.7663323358</v>
      </c>
      <c r="M23" s="155">
        <f t="shared" si="4"/>
        <v>5575078.0115163606</v>
      </c>
      <c r="N23" s="155">
        <f>SUM(N19:N22)</f>
        <v>50994182.787943773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50994182.787943773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50994182.787943773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3887857617.3720098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3887857617.3720098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A188-A37D-4265-B69A-22B1C3D736AD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234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48396</v>
      </c>
      <c r="C3" s="142">
        <v>48427</v>
      </c>
      <c r="D3" s="142">
        <v>48458</v>
      </c>
      <c r="E3" s="142">
        <v>48488</v>
      </c>
      <c r="F3" s="142">
        <v>48519</v>
      </c>
      <c r="G3" s="142">
        <v>48549</v>
      </c>
      <c r="H3" s="142">
        <v>48580</v>
      </c>
      <c r="I3" s="142">
        <v>48611</v>
      </c>
      <c r="J3" s="142">
        <v>48639</v>
      </c>
      <c r="K3" s="142">
        <v>48670</v>
      </c>
      <c r="L3" s="142">
        <v>48700</v>
      </c>
      <c r="M3" s="142">
        <v>48731</v>
      </c>
      <c r="N3" s="236" t="s">
        <v>2</v>
      </c>
    </row>
    <row r="4" spans="1:14" ht="15" thickBot="1" x14ac:dyDescent="0.35">
      <c r="A4" s="2" t="s">
        <v>3</v>
      </c>
      <c r="B4" s="191">
        <f>('MMM 20312032'!B4*$H$1)+'MMM 20312032'!B4</f>
        <v>398426421.24811769</v>
      </c>
      <c r="C4" s="191">
        <f>('MMM 20312032'!C4*$H$1)+'MMM 20312032'!C4</f>
        <v>421763157.35801589</v>
      </c>
      <c r="D4" s="191">
        <f>('MMM 20312032'!D4*$H$1)+'MMM 20312032'!D4</f>
        <v>267664304.99693936</v>
      </c>
      <c r="E4" s="191">
        <f>('MMM 20312032'!E4*$H$1)+'MMM 20312032'!E4</f>
        <v>241887936.68833971</v>
      </c>
      <c r="F4" s="191">
        <f>('MMM 20312032'!F4*$H$1)+'MMM 20312032'!F4</f>
        <v>254317978.95356637</v>
      </c>
      <c r="G4" s="191">
        <f>('MMM 20312032'!G4*$H$1)+'MMM 20312032'!G4</f>
        <v>247946634.88858902</v>
      </c>
      <c r="H4" s="191">
        <f>('MMM 20312032'!H4*$H$1)+'MMM 20312032'!H4</f>
        <v>243299942.53723046</v>
      </c>
      <c r="I4" s="191">
        <f>('MMM 20312032'!I4*$H$1)+'MMM 20312032'!I4</f>
        <v>230147891.53436038</v>
      </c>
      <c r="J4" s="191">
        <f>('MMM 20312032'!J4*$H$1)+'MMM 20312032'!J4</f>
        <v>186034827.80620295</v>
      </c>
      <c r="K4" s="191">
        <f>('MMM 20312032'!K4*$H$1)+'MMM 20312032'!K4</f>
        <v>249587552.95949206</v>
      </c>
      <c r="L4" s="191">
        <f>('MMM 20312032'!L4*$H$1)+'MMM 20312032'!L4</f>
        <v>261109402.04850212</v>
      </c>
      <c r="M4" s="191">
        <f>('MMM 20312032'!M4*$H$1)+'MMM 20312032'!M4</f>
        <v>339261805.02227485</v>
      </c>
      <c r="N4" s="237">
        <f>SUM(B4:M4)</f>
        <v>3341447856.0416307</v>
      </c>
    </row>
    <row r="5" spans="1:14" ht="15" thickBot="1" x14ac:dyDescent="0.35">
      <c r="A5" s="3" t="s">
        <v>4</v>
      </c>
      <c r="B5" s="191">
        <f>('MMM 20312032'!B5*$H$1)+'MMM 20312032'!B5</f>
        <v>56608044.709276088</v>
      </c>
      <c r="C5" s="191">
        <f>('MMM 20312032'!C5*$H$1)+'MMM 20312032'!C5</f>
        <v>59101064.564304277</v>
      </c>
      <c r="D5" s="191">
        <f>('MMM 20312032'!D5*$H$1)+'MMM 20312032'!D5</f>
        <v>48515746.07808613</v>
      </c>
      <c r="E5" s="191">
        <f>('MMM 20312032'!E5*$H$1)+'MMM 20312032'!E5</f>
        <v>35299485.44395864</v>
      </c>
      <c r="F5" s="191">
        <f>('MMM 20312032'!F5*$H$1)+'MMM 20312032'!F5</f>
        <v>38636485.91595991</v>
      </c>
      <c r="G5" s="191">
        <f>('MMM 20312032'!G5*$H$1)+'MMM 20312032'!G5</f>
        <v>54521530.80891294</v>
      </c>
      <c r="H5" s="191">
        <f>('MMM 20312032'!H5*$H$1)+'MMM 20312032'!H5</f>
        <v>37376591.384149723</v>
      </c>
      <c r="I5" s="191">
        <f>('MMM 20312032'!I5*$H$1)+'MMM 20312032'!I5</f>
        <v>34915773.906331547</v>
      </c>
      <c r="J5" s="191">
        <f>('MMM 20312032'!J5*$H$1)+'MMM 20312032'!J5</f>
        <v>37888454.565882675</v>
      </c>
      <c r="K5" s="191">
        <f>('MMM 20312032'!K5*$H$1)+'MMM 20312032'!K5</f>
        <v>39503112.109545536</v>
      </c>
      <c r="L5" s="191">
        <f>('MMM 20312032'!L5*$H$1)+'MMM 20312032'!L5</f>
        <v>38159386.440982603</v>
      </c>
      <c r="M5" s="191">
        <f>('MMM 20312032'!M5*$H$1)+'MMM 20312032'!M5</f>
        <v>53361846.297151752</v>
      </c>
      <c r="N5" s="237">
        <f t="shared" ref="N5:N9" si="0">SUM(B5:M5)</f>
        <v>533887522.22454178</v>
      </c>
    </row>
    <row r="6" spans="1:14" ht="15" thickBot="1" x14ac:dyDescent="0.35">
      <c r="A6" s="3" t="s">
        <v>5</v>
      </c>
      <c r="B6" s="191">
        <f>('MMM 20312032'!B6*$H$1)+'MMM 20312032'!B6</f>
        <v>2884991.8951894124</v>
      </c>
      <c r="C6" s="191">
        <f>('MMM 20312032'!C6*$H$1)+'MMM 20312032'!C6</f>
        <v>2475267.4659387986</v>
      </c>
      <c r="D6" s="191">
        <f>('MMM 20312032'!D6*$H$1)+'MMM 20312032'!D6</f>
        <v>55863041.718380757</v>
      </c>
      <c r="E6" s="191">
        <f>('MMM 20312032'!E6*$H$1)+'MMM 20312032'!E6</f>
        <v>779051.57818481605</v>
      </c>
      <c r="F6" s="191">
        <f>('MMM 20312032'!F6*$H$1)+'MMM 20312032'!F6</f>
        <v>3389275.4791291971</v>
      </c>
      <c r="G6" s="191">
        <f>('MMM 20312032'!G6*$H$1)+'MMM 20312032'!G6</f>
        <v>3261022.6497869869</v>
      </c>
      <c r="H6" s="191">
        <f>('MMM 20312032'!H6*$H$1)+'MMM 20312032'!H6</f>
        <v>1692872.1766067413</v>
      </c>
      <c r="I6" s="191">
        <f>('MMM 20312032'!I6*$H$1)+'MMM 20312032'!I6</f>
        <v>1545613.3717075826</v>
      </c>
      <c r="J6" s="191">
        <f>('MMM 20312032'!J6*$H$1)+'MMM 20312032'!J6</f>
        <v>2164538.1298450781</v>
      </c>
      <c r="K6" s="191">
        <f>('MMM 20312032'!K6*$H$1)+'MMM 20312032'!K6</f>
        <v>2511056.5932170115</v>
      </c>
      <c r="L6" s="191">
        <f>('MMM 20312032'!L6*$H$1)+'MMM 20312032'!L6</f>
        <v>2656501.7651752965</v>
      </c>
      <c r="M6" s="191">
        <f>('MMM 20312032'!M6*$H$1)+'MMM 20312032'!M6</f>
        <v>5355768.5646400498</v>
      </c>
      <c r="N6" s="237">
        <f t="shared" si="0"/>
        <v>84579001.387801737</v>
      </c>
    </row>
    <row r="7" spans="1:14" ht="15" thickBot="1" x14ac:dyDescent="0.35">
      <c r="A7" s="3" t="s">
        <v>6</v>
      </c>
      <c r="B7" s="191">
        <f>('MMM 20312032'!B7*$H$1)+'MMM 20312032'!B7</f>
        <v>3769733.7195357471</v>
      </c>
      <c r="C7" s="191">
        <f>('MMM 20312032'!C7*$H$1)+'MMM 20312032'!C7</f>
        <v>3824232.931974194</v>
      </c>
      <c r="D7" s="191">
        <f>('MMM 20312032'!D7*$H$1)+'MMM 20312032'!D7</f>
        <v>3232874.3200508868</v>
      </c>
      <c r="E7" s="191">
        <f>('MMM 20312032'!E7*$H$1)+'MMM 20312032'!E7</f>
        <v>2730448.203569117</v>
      </c>
      <c r="F7" s="191">
        <f>('MMM 20312032'!F7*$H$1)+'MMM 20312032'!F7</f>
        <v>2939289.1704152022</v>
      </c>
      <c r="G7" s="191">
        <f>('MMM 20312032'!G7*$H$1)+'MMM 20312032'!G7</f>
        <v>4571011.5649430761</v>
      </c>
      <c r="H7" s="191">
        <f>('MMM 20312032'!H7*$H$1)+'MMM 20312032'!H7</f>
        <v>3157702.0179250352</v>
      </c>
      <c r="I7" s="191">
        <f>('MMM 20312032'!I7*$H$1)+'MMM 20312032'!I7</f>
        <v>2841793.2027388187</v>
      </c>
      <c r="J7" s="191">
        <f>('MMM 20312032'!J7*$H$1)+'MMM 20312032'!J7</f>
        <v>2663762.178696204</v>
      </c>
      <c r="K7" s="191">
        <f>('MMM 20312032'!K7*$H$1)+'MMM 20312032'!K7</f>
        <v>2885997.9158218605</v>
      </c>
      <c r="L7" s="191">
        <f>('MMM 20312032'!L7*$H$1)+'MMM 20312032'!L7</f>
        <v>3125168.0122100119</v>
      </c>
      <c r="M7" s="191">
        <f>('MMM 20312032'!M7*$H$1)+'MMM 20312032'!M7</f>
        <v>4169814.3122820873</v>
      </c>
      <c r="N7" s="237">
        <f t="shared" si="0"/>
        <v>39911827.550162241</v>
      </c>
    </row>
    <row r="8" spans="1:14" ht="15" thickBot="1" x14ac:dyDescent="0.35">
      <c r="A8" s="3" t="s">
        <v>63</v>
      </c>
      <c r="B8" s="191">
        <f>('MMM 20312032'!B8*$H$1)+'MMM 20312032'!B8</f>
        <v>546211.48444642406</v>
      </c>
      <c r="C8" s="191">
        <f>('MMM 20312032'!C8*$H$1)+'MMM 20312032'!C8</f>
        <v>634992.97769948875</v>
      </c>
      <c r="D8" s="191">
        <f>('MMM 20312032'!D8*$H$1)+'MMM 20312032'!D8</f>
        <v>708361.20328871766</v>
      </c>
      <c r="E8" s="191">
        <f>('MMM 20312032'!E8*$H$1)+'MMM 20312032'!E8</f>
        <v>732733.95306327147</v>
      </c>
      <c r="F8" s="191">
        <f>('MMM 20312032'!F8*$H$1)+'MMM 20312032'!F8</f>
        <v>806007.34978919209</v>
      </c>
      <c r="G8" s="191">
        <f>('MMM 20312032'!G8*$H$1)+'MMM 20312032'!G8</f>
        <v>815624.04732328595</v>
      </c>
      <c r="H8" s="191">
        <f>('MMM 20312032'!H8*$H$1)+'MMM 20312032'!H8</f>
        <v>830375.42910026887</v>
      </c>
      <c r="I8" s="191">
        <f>('MMM 20312032'!I8*$H$1)+'MMM 20312032'!I8</f>
        <v>708261.39165130456</v>
      </c>
      <c r="J8" s="191">
        <f>('MMM 20312032'!J8*$H$1)+'MMM 20312032'!J8</f>
        <v>761249.11504917848</v>
      </c>
      <c r="K8" s="191">
        <f>('MMM 20312032'!K8*$H$1)+'MMM 20312032'!K8</f>
        <v>906702.06204299978</v>
      </c>
      <c r="L8" s="191">
        <f>('MMM 20312032'!L8*$H$1)+'MMM 20312032'!L8</f>
        <v>1045002.9245171566</v>
      </c>
      <c r="M8" s="191">
        <f>('MMM 20312032'!M8*$H$1)+'MMM 20312032'!M8</f>
        <v>1045002.9245171566</v>
      </c>
      <c r="N8" s="237">
        <f t="shared" si="0"/>
        <v>9540524.8624884449</v>
      </c>
    </row>
    <row r="9" spans="1:14" ht="15" thickBot="1" x14ac:dyDescent="0.35">
      <c r="A9" s="4" t="s">
        <v>167</v>
      </c>
      <c r="B9" s="191">
        <f>('MMM 20312032'!B9*$H$1)+'MMM 20312032'!B9</f>
        <v>18704.28349062812</v>
      </c>
      <c r="C9" s="191">
        <f>('MMM 20312032'!C9*$H$1)+'MMM 20312032'!C9</f>
        <v>11494.99013732315</v>
      </c>
      <c r="D9" s="191">
        <f>('MMM 20312032'!D9*$H$1)+'MMM 20312032'!D9</f>
        <v>11494.99013732315</v>
      </c>
      <c r="E9" s="191">
        <f>('MMM 20312032'!E9*$H$1)+'MMM 20312032'!E9</f>
        <v>11124.348401977433</v>
      </c>
      <c r="F9" s="191">
        <f>('MMM 20312032'!F9*$H$1)+'MMM 20312032'!F9</f>
        <v>11494.99013732315</v>
      </c>
      <c r="G9" s="191">
        <f>('MMM 20312032'!G9*$H$1)+'MMM 20312032'!G9</f>
        <v>12735.786065083401</v>
      </c>
      <c r="H9" s="191">
        <f>('MMM 20312032'!H9*$H$1)+'MMM 20312032'!H9</f>
        <v>11445.233375961676</v>
      </c>
      <c r="I9" s="191">
        <f>('MMM 20312032'!I9*$H$1)+'MMM 20312032'!I9</f>
        <v>11445.233375961676</v>
      </c>
      <c r="J9" s="191">
        <f>('MMM 20312032'!J9*$H$1)+'MMM 20312032'!J9</f>
        <v>13234.848806205138</v>
      </c>
      <c r="K9" s="191">
        <f>('MMM 20312032'!K9*$H$1)+'MMM 20312032'!K9</f>
        <v>14651.959653384503</v>
      </c>
      <c r="L9" s="191">
        <f>('MMM 20312032'!L9*$H$1)+'MMM 20312032'!L9</f>
        <v>14177.477047650842</v>
      </c>
      <c r="M9" s="191">
        <f>('MMM 20312032'!M9*$H$1)+'MMM 20312032'!M9</f>
        <v>13552.933095455033</v>
      </c>
      <c r="N9" s="237">
        <f t="shared" si="0"/>
        <v>155557.07372427723</v>
      </c>
    </row>
    <row r="10" spans="1:14" ht="15" thickBot="1" x14ac:dyDescent="0.35">
      <c r="A10" s="1" t="s">
        <v>7</v>
      </c>
      <c r="B10" s="155">
        <f t="shared" ref="B10:L10" si="1">SUM(B4:B9)</f>
        <v>462254107.340056</v>
      </c>
      <c r="C10" s="155">
        <f t="shared" si="1"/>
        <v>487810210.28807002</v>
      </c>
      <c r="D10" s="155">
        <f t="shared" si="1"/>
        <v>375995823.30688322</v>
      </c>
      <c r="E10" s="155">
        <f t="shared" si="1"/>
        <v>281440780.21551752</v>
      </c>
      <c r="F10" s="155">
        <f t="shared" si="1"/>
        <v>300100531.85899723</v>
      </c>
      <c r="G10" s="155">
        <f t="shared" si="1"/>
        <v>311128559.74562043</v>
      </c>
      <c r="H10" s="155">
        <f t="shared" si="1"/>
        <v>286368928.77838814</v>
      </c>
      <c r="I10" s="155">
        <f t="shared" si="1"/>
        <v>270170778.64016563</v>
      </c>
      <c r="J10" s="155">
        <f t="shared" si="1"/>
        <v>229526066.64448231</v>
      </c>
      <c r="K10" s="155">
        <f t="shared" si="1"/>
        <v>295409073.59977287</v>
      </c>
      <c r="L10" s="155">
        <f t="shared" si="1"/>
        <v>306109638.6684348</v>
      </c>
      <c r="M10" s="155">
        <f>SUM(M4:M9)</f>
        <v>403207790.05396134</v>
      </c>
      <c r="N10" s="155">
        <f>SUM(N4:N9)</f>
        <v>4009522289.1403489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4009522289.1403489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4009522289.1403489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235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48396</v>
      </c>
      <c r="C18" s="142">
        <f t="shared" si="2"/>
        <v>48427</v>
      </c>
      <c r="D18" s="142">
        <f t="shared" si="2"/>
        <v>48458</v>
      </c>
      <c r="E18" s="142">
        <f t="shared" si="2"/>
        <v>48488</v>
      </c>
      <c r="F18" s="142">
        <f t="shared" si="2"/>
        <v>48519</v>
      </c>
      <c r="G18" s="142">
        <f t="shared" si="2"/>
        <v>48549</v>
      </c>
      <c r="H18" s="142">
        <f t="shared" si="2"/>
        <v>48580</v>
      </c>
      <c r="I18" s="142">
        <f t="shared" si="2"/>
        <v>48611</v>
      </c>
      <c r="J18" s="142">
        <f t="shared" si="2"/>
        <v>48639</v>
      </c>
      <c r="K18" s="142">
        <f t="shared" si="2"/>
        <v>48670</v>
      </c>
      <c r="L18" s="142">
        <f t="shared" si="2"/>
        <v>48700</v>
      </c>
      <c r="M18" s="142">
        <f t="shared" si="2"/>
        <v>48731</v>
      </c>
      <c r="N18" s="236" t="s">
        <v>2</v>
      </c>
    </row>
    <row r="19" spans="1:14" ht="15" thickBot="1" x14ac:dyDescent="0.35">
      <c r="A19" s="2" t="s">
        <v>9</v>
      </c>
      <c r="B19" s="191">
        <f>('MMM 20312032'!B19*$H$1)+'MMM 20312032'!B19</f>
        <v>618443.1406819059</v>
      </c>
      <c r="C19" s="191">
        <f>('MMM 20312032'!C19*$H$1)+'MMM 20312032'!C19</f>
        <v>490600.71589631797</v>
      </c>
      <c r="D19" s="191">
        <f>('MMM 20312032'!D19*$H$1)+'MMM 20312032'!D19</f>
        <v>428509.88511255808</v>
      </c>
      <c r="E19" s="191">
        <f>('MMM 20312032'!E19*$H$1)+'MMM 20312032'!E19</f>
        <v>341599.40224199888</v>
      </c>
      <c r="F19" s="191">
        <f>('MMM 20312032'!F19*$H$1)+'MMM 20312032'!F19</f>
        <v>351552.06054055481</v>
      </c>
      <c r="G19" s="191">
        <f>('MMM 20312032'!G19*$H$1)+'MMM 20312032'!G19</f>
        <v>477849.96731298207</v>
      </c>
      <c r="H19" s="191">
        <f>('MMM 20312032'!H19*$H$1)+'MMM 20312032'!H19</f>
        <v>330549.55412065628</v>
      </c>
      <c r="I19" s="191">
        <f>('MMM 20312032'!I19*$H$1)+'MMM 20312032'!I19</f>
        <v>314135.38767891709</v>
      </c>
      <c r="J19" s="191">
        <f>('MMM 20312032'!J19*$H$1)+'MMM 20312032'!J19</f>
        <v>603524.9653712177</v>
      </c>
      <c r="K19" s="191">
        <f>('MMM 20312032'!K19*$H$1)+'MMM 20312032'!K19</f>
        <v>686348.95811588597</v>
      </c>
      <c r="L19" s="191">
        <f>('MMM 20312032'!L19*$H$1)+'MMM 20312032'!L19</f>
        <v>675900.38495155668</v>
      </c>
      <c r="M19" s="191">
        <f>('MMM 20312032'!M19*$H$1)+'MMM 20312032'!M19</f>
        <v>779776.83510062506</v>
      </c>
      <c r="N19" s="163">
        <f>SUM(B19:M19)</f>
        <v>6098791.2571251756</v>
      </c>
    </row>
    <row r="20" spans="1:14" ht="15" thickBot="1" x14ac:dyDescent="0.35">
      <c r="A20" s="3" t="s">
        <v>10</v>
      </c>
      <c r="B20" s="191">
        <f>('MMM 20312032'!B20*$H$1)+'MMM 20312032'!B20</f>
        <v>3678319.0644011828</v>
      </c>
      <c r="C20" s="191">
        <f>('MMM 20312032'!C20*$H$1)+'MMM 20312032'!C20</f>
        <v>3824069.7070834283</v>
      </c>
      <c r="D20" s="191">
        <f>('MMM 20312032'!D20*$H$1)+'MMM 20312032'!D20</f>
        <v>2950875.2700801757</v>
      </c>
      <c r="E20" s="191">
        <f>('MMM 20312032'!E20*$H$1)+'MMM 20312032'!E20</f>
        <v>2298584.5423895442</v>
      </c>
      <c r="F20" s="191">
        <f>('MMM 20312032'!F20*$H$1)+'MMM 20312032'!F20</f>
        <v>2301478.2281182641</v>
      </c>
      <c r="G20" s="191">
        <f>('MMM 20312032'!G20*$H$1)+'MMM 20312032'!G20</f>
        <v>3297435.44272382</v>
      </c>
      <c r="H20" s="191">
        <f>('MMM 20312032'!H20*$H$1)+'MMM 20312032'!H20</f>
        <v>2197212.7430401356</v>
      </c>
      <c r="I20" s="191">
        <f>('MMM 20312032'!I20*$H$1)+'MMM 20312032'!I20</f>
        <v>2076199.117891798</v>
      </c>
      <c r="J20" s="191">
        <f>('MMM 20312032'!J20*$H$1)+'MMM 20312032'!J20</f>
        <v>2032127.0938345345</v>
      </c>
      <c r="K20" s="191">
        <f>('MMM 20312032'!K20*$H$1)+'MMM 20312032'!K20</f>
        <v>2301750.2661031019</v>
      </c>
      <c r="L20" s="191">
        <f>('MMM 20312032'!L20*$H$1)+'MMM 20312032'!L20</f>
        <v>2406816.6917623896</v>
      </c>
      <c r="M20" s="191">
        <f>('MMM 20312032'!M20*$H$1)+'MMM 20312032'!M20</f>
        <v>3566357.0308076339</v>
      </c>
      <c r="N20" s="163">
        <f t="shared" ref="N20:N22" si="3">SUM(B20:M20)</f>
        <v>32931225.198236007</v>
      </c>
    </row>
    <row r="21" spans="1:14" ht="15" thickBot="1" x14ac:dyDescent="0.35">
      <c r="A21" s="3" t="s">
        <v>11</v>
      </c>
      <c r="B21" s="191">
        <f>('MMM 20312032'!B21*$H$1)+'MMM 20312032'!B21</f>
        <v>1329279.9877282812</v>
      </c>
      <c r="C21" s="191">
        <f>('MMM 20312032'!C21*$H$1)+'MMM 20312032'!C21</f>
        <v>1322648.1709214591</v>
      </c>
      <c r="D21" s="191">
        <f>('MMM 20312032'!D21*$H$1)+'MMM 20312032'!D21</f>
        <v>1005309.7396411863</v>
      </c>
      <c r="E21" s="191">
        <f>('MMM 20312032'!E21*$H$1)+'MMM 20312032'!E21</f>
        <v>810187.37201356003</v>
      </c>
      <c r="F21" s="191">
        <f>('MMM 20312032'!F21*$H$1)+'MMM 20312032'!F21</f>
        <v>785986.47825984564</v>
      </c>
      <c r="G21" s="191">
        <f>('MMM 20312032'!G21*$H$1)+'MMM 20312032'!G21</f>
        <v>1192499.5025018444</v>
      </c>
      <c r="H21" s="191">
        <f>('MMM 20312032'!H21*$H$1)+'MMM 20312032'!H21</f>
        <v>805434.92699650221</v>
      </c>
      <c r="I21" s="191">
        <f>('MMM 20312032'!I21*$H$1)+'MMM 20312032'!I21</f>
        <v>753273.7145045395</v>
      </c>
      <c r="J21" s="191">
        <f>('MMM 20312032'!J21*$H$1)+'MMM 20312032'!J21</f>
        <v>707649.71096412593</v>
      </c>
      <c r="K21" s="191">
        <f>('MMM 20312032'!K21*$H$1)+'MMM 20312032'!K21</f>
        <v>763614.87504946999</v>
      </c>
      <c r="L21" s="191">
        <f>('MMM 20312032'!L21*$H$1)+'MMM 20312032'!L21</f>
        <v>841592.01809974504</v>
      </c>
      <c r="M21" s="191">
        <f>('MMM 20312032'!M21*$H$1)+'MMM 20312032'!M21</f>
        <v>1218403.616021449</v>
      </c>
      <c r="N21" s="163">
        <f t="shared" si="3"/>
        <v>11535880.112702008</v>
      </c>
    </row>
    <row r="22" spans="1:14" ht="15" thickBot="1" x14ac:dyDescent="0.35">
      <c r="A22" s="3" t="s">
        <v>12</v>
      </c>
      <c r="B22" s="191">
        <f>('MMM 20312032'!B22*$H$1)+'MMM 20312032'!B22</f>
        <v>235257.03729398668</v>
      </c>
      <c r="C22" s="191">
        <f>('MMM 20312032'!C22*$H$1)+'MMM 20312032'!C22</f>
        <v>236923.91009350246</v>
      </c>
      <c r="D22" s="191">
        <f>('MMM 20312032'!D22*$H$1)+'MMM 20312032'!D22</f>
        <v>170089.0098958812</v>
      </c>
      <c r="E22" s="191">
        <f>('MMM 20312032'!E22*$H$1)+'MMM 20312032'!E22</f>
        <v>231916.02337489306</v>
      </c>
      <c r="F22" s="191">
        <f>('MMM 20312032'!F22*$H$1)+'MMM 20312032'!F22</f>
        <v>241037.49532980414</v>
      </c>
      <c r="G22" s="191">
        <f>('MMM 20312032'!G22*$H$1)+'MMM 20312032'!G22</f>
        <v>375774.41855195211</v>
      </c>
      <c r="H22" s="191">
        <f>('MMM 20312032'!H22*$H$1)+'MMM 20312032'!H22</f>
        <v>232170.58492831216</v>
      </c>
      <c r="I22" s="191">
        <f>('MMM 20312032'!I22*$H$1)+'MMM 20312032'!I22</f>
        <v>215534.74892062167</v>
      </c>
      <c r="J22" s="191">
        <f>('MMM 20312032'!J22*$H$1)+'MMM 20312032'!J22</f>
        <v>152532.59093847632</v>
      </c>
      <c r="K22" s="191">
        <f>('MMM 20312032'!K22*$H$1)+'MMM 20312032'!K22</f>
        <v>177219.03990213372</v>
      </c>
      <c r="L22" s="191">
        <f>('MMM 20312032'!L22*$H$1)+'MMM 20312032'!L22</f>
        <v>193150.5460035998</v>
      </c>
      <c r="M22" s="191">
        <f>('MMM 20312032'!M22*$H$1)+'MMM 20312032'!M22</f>
        <v>261419.04010488829</v>
      </c>
      <c r="N22" s="163">
        <f t="shared" si="3"/>
        <v>2723024.4453380518</v>
      </c>
    </row>
    <row r="23" spans="1:14" ht="15" thickBot="1" x14ac:dyDescent="0.35">
      <c r="A23" s="1" t="s">
        <v>7</v>
      </c>
      <c r="B23" s="155">
        <f t="shared" ref="B23:M23" si="4">SUM(B19:B22)</f>
        <v>5861299.2301053563</v>
      </c>
      <c r="C23" s="155">
        <f t="shared" si="4"/>
        <v>5874242.503994707</v>
      </c>
      <c r="D23" s="155">
        <f t="shared" si="4"/>
        <v>4554783.9047298022</v>
      </c>
      <c r="E23" s="155">
        <f t="shared" si="4"/>
        <v>3682287.3400199963</v>
      </c>
      <c r="F23" s="155">
        <f t="shared" si="4"/>
        <v>3680054.2622484691</v>
      </c>
      <c r="G23" s="155">
        <f t="shared" si="4"/>
        <v>5343559.3310905993</v>
      </c>
      <c r="H23" s="155">
        <f t="shared" si="4"/>
        <v>3565367.8090856061</v>
      </c>
      <c r="I23" s="155">
        <f t="shared" si="4"/>
        <v>3359142.9689958766</v>
      </c>
      <c r="J23" s="155">
        <f t="shared" si="4"/>
        <v>3495834.3611083548</v>
      </c>
      <c r="K23" s="155">
        <f t="shared" si="4"/>
        <v>3928933.1391705917</v>
      </c>
      <c r="L23" s="155">
        <f t="shared" si="4"/>
        <v>4117459.6408172911</v>
      </c>
      <c r="M23" s="155">
        <f t="shared" si="4"/>
        <v>5825956.5220345957</v>
      </c>
      <c r="N23" s="155">
        <f>SUM(N19:N22)</f>
        <v>53288921.01340124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53288921.01340124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53288921.01340124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4062811210.1537499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4062811210.1537499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4CCA-70AF-4DB4-8B61-55AE4E637406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236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48761</v>
      </c>
      <c r="C3" s="142">
        <v>48792</v>
      </c>
      <c r="D3" s="142">
        <v>48823</v>
      </c>
      <c r="E3" s="142">
        <v>48853</v>
      </c>
      <c r="F3" s="142">
        <v>48884</v>
      </c>
      <c r="G3" s="142">
        <v>48914</v>
      </c>
      <c r="H3" s="142">
        <v>48945</v>
      </c>
      <c r="I3" s="142">
        <v>48976</v>
      </c>
      <c r="J3" s="142">
        <v>49004</v>
      </c>
      <c r="K3" s="142">
        <v>49035</v>
      </c>
      <c r="L3" s="142">
        <v>49065</v>
      </c>
      <c r="M3" s="142">
        <v>49096</v>
      </c>
      <c r="N3" s="236" t="s">
        <v>2</v>
      </c>
    </row>
    <row r="4" spans="1:14" ht="15" thickBot="1" x14ac:dyDescent="0.35">
      <c r="A4" s="2" t="s">
        <v>3</v>
      </c>
      <c r="B4" s="191">
        <f>('MMM 20322033'!B4*$H$1)+'MMM 20322033'!B4</f>
        <v>416355610.204283</v>
      </c>
      <c r="C4" s="191">
        <f>('MMM 20322033'!C4*$H$1)+'MMM 20322033'!C4</f>
        <v>440742499.43912661</v>
      </c>
      <c r="D4" s="191">
        <f>('MMM 20322033'!D4*$H$1)+'MMM 20322033'!D4</f>
        <v>279709198.72180164</v>
      </c>
      <c r="E4" s="191">
        <f>('MMM 20322033'!E4*$H$1)+'MMM 20322033'!E4</f>
        <v>252772893.839315</v>
      </c>
      <c r="F4" s="191">
        <f>('MMM 20322033'!F4*$H$1)+'MMM 20322033'!F4</f>
        <v>265762288.00647685</v>
      </c>
      <c r="G4" s="191">
        <f>('MMM 20322033'!G4*$H$1)+'MMM 20322033'!G4</f>
        <v>259104233.45857552</v>
      </c>
      <c r="H4" s="191">
        <f>('MMM 20322033'!H4*$H$1)+'MMM 20322033'!H4</f>
        <v>254248439.95140582</v>
      </c>
      <c r="I4" s="191">
        <f>('MMM 20322033'!I4*$H$1)+'MMM 20322033'!I4</f>
        <v>240504546.65340659</v>
      </c>
      <c r="J4" s="191">
        <f>('MMM 20322033'!J4*$H$1)+'MMM 20322033'!J4</f>
        <v>194406395.05748209</v>
      </c>
      <c r="K4" s="191">
        <f>('MMM 20322033'!K4*$H$1)+'MMM 20322033'!K4</f>
        <v>260818992.84266919</v>
      </c>
      <c r="L4" s="191">
        <f>('MMM 20322033'!L4*$H$1)+'MMM 20322033'!L4</f>
        <v>272859325.14068472</v>
      </c>
      <c r="M4" s="191">
        <f>('MMM 20322033'!M4*$H$1)+'MMM 20322033'!M4</f>
        <v>354528586.24827725</v>
      </c>
      <c r="N4" s="237">
        <f>SUM(B4:M4)</f>
        <v>3491813009.5635042</v>
      </c>
    </row>
    <row r="5" spans="1:14" ht="15" thickBot="1" x14ac:dyDescent="0.35">
      <c r="A5" s="3" t="s">
        <v>4</v>
      </c>
      <c r="B5" s="191">
        <f>('MMM 20322033'!B5*$H$1)+'MMM 20322033'!B5</f>
        <v>59155406.721193515</v>
      </c>
      <c r="C5" s="191">
        <f>('MMM 20322033'!C5*$H$1)+'MMM 20322033'!C5</f>
        <v>61760612.469697967</v>
      </c>
      <c r="D5" s="191">
        <f>('MMM 20322033'!D5*$H$1)+'MMM 20322033'!D5</f>
        <v>50698954.651600003</v>
      </c>
      <c r="E5" s="191">
        <f>('MMM 20322033'!E5*$H$1)+'MMM 20322033'!E5</f>
        <v>36887962.288936779</v>
      </c>
      <c r="F5" s="191">
        <f>('MMM 20322033'!F5*$H$1)+'MMM 20322033'!F5</f>
        <v>40375127.782178104</v>
      </c>
      <c r="G5" s="191">
        <f>('MMM 20322033'!G5*$H$1)+'MMM 20322033'!G5</f>
        <v>56974999.69531402</v>
      </c>
      <c r="H5" s="191">
        <f>('MMM 20322033'!H5*$H$1)+'MMM 20322033'!H5</f>
        <v>39058537.996436462</v>
      </c>
      <c r="I5" s="191">
        <f>('MMM 20322033'!I5*$H$1)+'MMM 20322033'!I5</f>
        <v>36486983.732116468</v>
      </c>
      <c r="J5" s="191">
        <f>('MMM 20322033'!J5*$H$1)+'MMM 20322033'!J5</f>
        <v>39593435.021347396</v>
      </c>
      <c r="K5" s="191">
        <f>('MMM 20322033'!K5*$H$1)+'MMM 20322033'!K5</f>
        <v>41280752.154475085</v>
      </c>
      <c r="L5" s="191">
        <f>('MMM 20322033'!L5*$H$1)+'MMM 20322033'!L5</f>
        <v>39876558.830826819</v>
      </c>
      <c r="M5" s="191">
        <f>('MMM 20322033'!M5*$H$1)+'MMM 20322033'!M5</f>
        <v>55763129.380523577</v>
      </c>
      <c r="N5" s="237">
        <f t="shared" ref="N5:N9" si="0">SUM(B5:M5)</f>
        <v>557912460.72464621</v>
      </c>
    </row>
    <row r="6" spans="1:14" ht="15" thickBot="1" x14ac:dyDescent="0.35">
      <c r="A6" s="3" t="s">
        <v>5</v>
      </c>
      <c r="B6" s="191">
        <f>('MMM 20322033'!B6*$H$1)+'MMM 20322033'!B6</f>
        <v>3014816.5304729361</v>
      </c>
      <c r="C6" s="191">
        <f>('MMM 20322033'!C6*$H$1)+'MMM 20322033'!C6</f>
        <v>2586654.5019060448</v>
      </c>
      <c r="D6" s="191">
        <f>('MMM 20322033'!D6*$H$1)+'MMM 20322033'!D6</f>
        <v>58376878.595707893</v>
      </c>
      <c r="E6" s="191">
        <f>('MMM 20322033'!E6*$H$1)+'MMM 20322033'!E6</f>
        <v>814108.89920313284</v>
      </c>
      <c r="F6" s="191">
        <f>('MMM 20322033'!F6*$H$1)+'MMM 20322033'!F6</f>
        <v>3541792.8756900108</v>
      </c>
      <c r="G6" s="191">
        <f>('MMM 20322033'!G6*$H$1)+'MMM 20322033'!G6</f>
        <v>3407768.6690274011</v>
      </c>
      <c r="H6" s="191">
        <f>('MMM 20322033'!H6*$H$1)+'MMM 20322033'!H6</f>
        <v>1769051.4245540446</v>
      </c>
      <c r="I6" s="191">
        <f>('MMM 20322033'!I6*$H$1)+'MMM 20322033'!I6</f>
        <v>1615165.9734344238</v>
      </c>
      <c r="J6" s="191">
        <f>('MMM 20322033'!J6*$H$1)+'MMM 20322033'!J6</f>
        <v>2261942.3456881065</v>
      </c>
      <c r="K6" s="191">
        <f>('MMM 20322033'!K6*$H$1)+'MMM 20322033'!K6</f>
        <v>2624054.1399117769</v>
      </c>
      <c r="L6" s="191">
        <f>('MMM 20322033'!L6*$H$1)+'MMM 20322033'!L6</f>
        <v>2776044.3446081849</v>
      </c>
      <c r="M6" s="191">
        <f>('MMM 20322033'!M6*$H$1)+'MMM 20322033'!M6</f>
        <v>5596778.150048852</v>
      </c>
      <c r="N6" s="237">
        <f t="shared" si="0"/>
        <v>88385056.450252801</v>
      </c>
    </row>
    <row r="7" spans="1:14" ht="15" thickBot="1" x14ac:dyDescent="0.35">
      <c r="A7" s="3" t="s">
        <v>6</v>
      </c>
      <c r="B7" s="191">
        <f>('MMM 20322033'!B7*$H$1)+'MMM 20322033'!B7</f>
        <v>3939371.7369148559</v>
      </c>
      <c r="C7" s="191">
        <f>('MMM 20322033'!C7*$H$1)+'MMM 20322033'!C7</f>
        <v>3996323.413913033</v>
      </c>
      <c r="D7" s="191">
        <f>('MMM 20322033'!D7*$H$1)+'MMM 20322033'!D7</f>
        <v>3378353.6644531768</v>
      </c>
      <c r="E7" s="191">
        <f>('MMM 20322033'!E7*$H$1)+'MMM 20322033'!E7</f>
        <v>2853318.3727297271</v>
      </c>
      <c r="F7" s="191">
        <f>('MMM 20322033'!F7*$H$1)+'MMM 20322033'!F7</f>
        <v>3071557.1830838863</v>
      </c>
      <c r="G7" s="191">
        <f>('MMM 20322033'!G7*$H$1)+'MMM 20322033'!G7</f>
        <v>4776707.0853655143</v>
      </c>
      <c r="H7" s="191">
        <f>('MMM 20322033'!H7*$H$1)+'MMM 20322033'!H7</f>
        <v>3299798.6087316619</v>
      </c>
      <c r="I7" s="191">
        <f>('MMM 20322033'!I7*$H$1)+'MMM 20322033'!I7</f>
        <v>2969673.8968620654</v>
      </c>
      <c r="J7" s="191">
        <f>('MMM 20322033'!J7*$H$1)+'MMM 20322033'!J7</f>
        <v>2783631.4767375332</v>
      </c>
      <c r="K7" s="191">
        <f>('MMM 20322033'!K7*$H$1)+'MMM 20322033'!K7</f>
        <v>3015867.8220338444</v>
      </c>
      <c r="L7" s="191">
        <f>('MMM 20322033'!L7*$H$1)+'MMM 20322033'!L7</f>
        <v>3265800.5727594625</v>
      </c>
      <c r="M7" s="191">
        <f>('MMM 20322033'!M7*$H$1)+'MMM 20322033'!M7</f>
        <v>4357455.9563347809</v>
      </c>
      <c r="N7" s="237">
        <f t="shared" si="0"/>
        <v>41707859.78991954</v>
      </c>
    </row>
    <row r="8" spans="1:14" ht="15" thickBot="1" x14ac:dyDescent="0.35">
      <c r="A8" s="3" t="s">
        <v>63</v>
      </c>
      <c r="B8" s="191">
        <f>('MMM 20322033'!B8*$H$1)+'MMM 20322033'!B8</f>
        <v>570791.0012465131</v>
      </c>
      <c r="C8" s="191">
        <f>('MMM 20322033'!C8*$H$1)+'MMM 20322033'!C8</f>
        <v>663567.6616959658</v>
      </c>
      <c r="D8" s="191">
        <f>('MMM 20322033'!D8*$H$1)+'MMM 20322033'!D8</f>
        <v>740237.4574367099</v>
      </c>
      <c r="E8" s="191">
        <f>('MMM 20322033'!E8*$H$1)+'MMM 20322033'!E8</f>
        <v>765706.98095111875</v>
      </c>
      <c r="F8" s="191">
        <f>('MMM 20322033'!F8*$H$1)+'MMM 20322033'!F8</f>
        <v>842277.68052970571</v>
      </c>
      <c r="G8" s="191">
        <f>('MMM 20322033'!G8*$H$1)+'MMM 20322033'!G8</f>
        <v>852327.12945283379</v>
      </c>
      <c r="H8" s="191">
        <f>('MMM 20322033'!H8*$H$1)+'MMM 20322033'!H8</f>
        <v>867742.32340978098</v>
      </c>
      <c r="I8" s="191">
        <f>('MMM 20322033'!I8*$H$1)+'MMM 20322033'!I8</f>
        <v>740133.15427561325</v>
      </c>
      <c r="J8" s="191">
        <f>('MMM 20322033'!J8*$H$1)+'MMM 20322033'!J8</f>
        <v>795505.32522639155</v>
      </c>
      <c r="K8" s="191">
        <f>('MMM 20322033'!K8*$H$1)+'MMM 20322033'!K8</f>
        <v>947503.65483493474</v>
      </c>
      <c r="L8" s="191">
        <f>('MMM 20322033'!L8*$H$1)+'MMM 20322033'!L8</f>
        <v>1092028.0561204285</v>
      </c>
      <c r="M8" s="191">
        <f>('MMM 20322033'!M8*$H$1)+'MMM 20322033'!M8</f>
        <v>1092028.0561204285</v>
      </c>
      <c r="N8" s="237">
        <f t="shared" si="0"/>
        <v>9969848.4813004248</v>
      </c>
    </row>
    <row r="9" spans="1:14" ht="15" thickBot="1" x14ac:dyDescent="0.35">
      <c r="A9" s="4" t="s">
        <v>167</v>
      </c>
      <c r="B9" s="191">
        <f>('MMM 20322033'!B9*$H$1)+'MMM 20322033'!B9</f>
        <v>19545.976247706385</v>
      </c>
      <c r="C9" s="191">
        <f>('MMM 20322033'!C9*$H$1)+'MMM 20322033'!C9</f>
        <v>12012.264693502691</v>
      </c>
      <c r="D9" s="191">
        <f>('MMM 20322033'!D9*$H$1)+'MMM 20322033'!D9</f>
        <v>12012.264693502691</v>
      </c>
      <c r="E9" s="191">
        <f>('MMM 20322033'!E9*$H$1)+'MMM 20322033'!E9</f>
        <v>11624.944080066418</v>
      </c>
      <c r="F9" s="191">
        <f>('MMM 20322033'!F9*$H$1)+'MMM 20322033'!F9</f>
        <v>12012.264693502691</v>
      </c>
      <c r="G9" s="191">
        <f>('MMM 20322033'!G9*$H$1)+'MMM 20322033'!G9</f>
        <v>13308.896438012154</v>
      </c>
      <c r="H9" s="191">
        <f>('MMM 20322033'!H9*$H$1)+'MMM 20322033'!H9</f>
        <v>11960.268877879951</v>
      </c>
      <c r="I9" s="191">
        <f>('MMM 20322033'!I9*$H$1)+'MMM 20322033'!I9</f>
        <v>11960.268877879951</v>
      </c>
      <c r="J9" s="191">
        <f>('MMM 20322033'!J9*$H$1)+'MMM 20322033'!J9</f>
        <v>13830.41700248437</v>
      </c>
      <c r="K9" s="191">
        <f>('MMM 20322033'!K9*$H$1)+'MMM 20322033'!K9</f>
        <v>15311.297837786806</v>
      </c>
      <c r="L9" s="191">
        <f>('MMM 20322033'!L9*$H$1)+'MMM 20322033'!L9</f>
        <v>14815.46351479513</v>
      </c>
      <c r="M9" s="191">
        <f>('MMM 20322033'!M9*$H$1)+'MMM 20322033'!M9</f>
        <v>14162.815084750509</v>
      </c>
      <c r="N9" s="237">
        <f t="shared" si="0"/>
        <v>162557.14204186975</v>
      </c>
    </row>
    <row r="10" spans="1:14" ht="15" thickBot="1" x14ac:dyDescent="0.35">
      <c r="A10" s="1" t="s">
        <v>7</v>
      </c>
      <c r="B10" s="155">
        <f t="shared" ref="B10:L10" si="1">SUM(B4:B9)</f>
        <v>483055542.17035854</v>
      </c>
      <c r="C10" s="155">
        <f t="shared" si="1"/>
        <v>509761669.75103307</v>
      </c>
      <c r="D10" s="155">
        <f t="shared" si="1"/>
        <v>392915635.35569286</v>
      </c>
      <c r="E10" s="155">
        <f t="shared" si="1"/>
        <v>294105615.32521582</v>
      </c>
      <c r="F10" s="155">
        <f t="shared" si="1"/>
        <v>313605055.79265201</v>
      </c>
      <c r="G10" s="155">
        <f t="shared" si="1"/>
        <v>325129344.93417329</v>
      </c>
      <c r="H10" s="155">
        <f t="shared" si="1"/>
        <v>299255530.5734157</v>
      </c>
      <c r="I10" s="155">
        <f t="shared" si="1"/>
        <v>282328463.67897308</v>
      </c>
      <c r="J10" s="155">
        <f t="shared" si="1"/>
        <v>239854739.64348403</v>
      </c>
      <c r="K10" s="155">
        <f t="shared" si="1"/>
        <v>308702481.9117626</v>
      </c>
      <c r="L10" s="155">
        <f t="shared" si="1"/>
        <v>319884572.40851444</v>
      </c>
      <c r="M10" s="155">
        <f>SUM(M4:M9)</f>
        <v>421352140.60638964</v>
      </c>
      <c r="N10" s="155">
        <f>SUM(N4:N9)</f>
        <v>4189950792.1516647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4189950792.1516647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4189950792.1516647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237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48761</v>
      </c>
      <c r="C18" s="142">
        <f t="shared" si="2"/>
        <v>48792</v>
      </c>
      <c r="D18" s="142">
        <f t="shared" si="2"/>
        <v>48823</v>
      </c>
      <c r="E18" s="142">
        <f t="shared" si="2"/>
        <v>48853</v>
      </c>
      <c r="F18" s="142">
        <f t="shared" si="2"/>
        <v>48884</v>
      </c>
      <c r="G18" s="142">
        <f t="shared" si="2"/>
        <v>48914</v>
      </c>
      <c r="H18" s="142">
        <f t="shared" si="2"/>
        <v>48945</v>
      </c>
      <c r="I18" s="142">
        <f t="shared" si="2"/>
        <v>48976</v>
      </c>
      <c r="J18" s="142">
        <f t="shared" si="2"/>
        <v>49004</v>
      </c>
      <c r="K18" s="142">
        <f t="shared" si="2"/>
        <v>49035</v>
      </c>
      <c r="L18" s="142">
        <f t="shared" si="2"/>
        <v>49065</v>
      </c>
      <c r="M18" s="142">
        <f t="shared" si="2"/>
        <v>49096</v>
      </c>
      <c r="N18" s="236" t="s">
        <v>2</v>
      </c>
    </row>
    <row r="19" spans="1:14" ht="15" thickBot="1" x14ac:dyDescent="0.35">
      <c r="A19" s="2" t="s">
        <v>9</v>
      </c>
      <c r="B19" s="191">
        <f>('MMM 20322033'!B19*$H$1)+'MMM 20322033'!B19</f>
        <v>646273.08201259165</v>
      </c>
      <c r="C19" s="191">
        <f>('MMM 20322033'!C19*$H$1)+'MMM 20322033'!C19</f>
        <v>512677.74811165227</v>
      </c>
      <c r="D19" s="191">
        <f>('MMM 20322033'!D19*$H$1)+'MMM 20322033'!D19</f>
        <v>447792.82994262321</v>
      </c>
      <c r="E19" s="191">
        <f>('MMM 20322033'!E19*$H$1)+'MMM 20322033'!E19</f>
        <v>356971.37534288882</v>
      </c>
      <c r="F19" s="191">
        <f>('MMM 20322033'!F19*$H$1)+'MMM 20322033'!F19</f>
        <v>367371.90326487977</v>
      </c>
      <c r="G19" s="191">
        <f>('MMM 20322033'!G19*$H$1)+'MMM 20322033'!G19</f>
        <v>499353.21584206627</v>
      </c>
      <c r="H19" s="191">
        <f>('MMM 20322033'!H19*$H$1)+'MMM 20322033'!H19</f>
        <v>345424.2840560858</v>
      </c>
      <c r="I19" s="191">
        <f>('MMM 20322033'!I19*$H$1)+'MMM 20322033'!I19</f>
        <v>328271.48012446833</v>
      </c>
      <c r="J19" s="191">
        <f>('MMM 20322033'!J19*$H$1)+'MMM 20322033'!J19</f>
        <v>630683.58881292248</v>
      </c>
      <c r="K19" s="191">
        <f>('MMM 20322033'!K19*$H$1)+'MMM 20322033'!K19</f>
        <v>717234.66123110079</v>
      </c>
      <c r="L19" s="191">
        <f>('MMM 20322033'!L19*$H$1)+'MMM 20322033'!L19</f>
        <v>706315.90227437671</v>
      </c>
      <c r="M19" s="191">
        <f>('MMM 20322033'!M19*$H$1)+'MMM 20322033'!M19</f>
        <v>814866.79268015316</v>
      </c>
      <c r="N19" s="163">
        <f>SUM(B19:M19)</f>
        <v>6373236.8636958096</v>
      </c>
    </row>
    <row r="20" spans="1:14" ht="15" thickBot="1" x14ac:dyDescent="0.35">
      <c r="A20" s="3" t="s">
        <v>10</v>
      </c>
      <c r="B20" s="191">
        <f>('MMM 20322033'!B20*$H$1)+'MMM 20322033'!B20</f>
        <v>3843843.4222992361</v>
      </c>
      <c r="C20" s="191">
        <f>('MMM 20322033'!C20*$H$1)+'MMM 20322033'!C20</f>
        <v>3996152.8439021828</v>
      </c>
      <c r="D20" s="191">
        <f>('MMM 20322033'!D20*$H$1)+'MMM 20322033'!D20</f>
        <v>3083664.6572337835</v>
      </c>
      <c r="E20" s="191">
        <f>('MMM 20322033'!E20*$H$1)+'MMM 20322033'!E20</f>
        <v>2402020.8467970737</v>
      </c>
      <c r="F20" s="191">
        <f>('MMM 20322033'!F20*$H$1)+'MMM 20322033'!F20</f>
        <v>2405044.7483835858</v>
      </c>
      <c r="G20" s="191">
        <f>('MMM 20322033'!G20*$H$1)+'MMM 20322033'!G20</f>
        <v>3445820.0376463919</v>
      </c>
      <c r="H20" s="191">
        <f>('MMM 20322033'!H20*$H$1)+'MMM 20322033'!H20</f>
        <v>2296087.3164769416</v>
      </c>
      <c r="I20" s="191">
        <f>('MMM 20322033'!I20*$H$1)+'MMM 20322033'!I20</f>
        <v>2169628.0781969288</v>
      </c>
      <c r="J20" s="191">
        <f>('MMM 20322033'!J20*$H$1)+'MMM 20322033'!J20</f>
        <v>2123572.8130570888</v>
      </c>
      <c r="K20" s="191">
        <f>('MMM 20322033'!K20*$H$1)+'MMM 20322033'!K20</f>
        <v>2405329.0280777416</v>
      </c>
      <c r="L20" s="191">
        <f>('MMM 20322033'!L20*$H$1)+'MMM 20322033'!L20</f>
        <v>2515123.4428916969</v>
      </c>
      <c r="M20" s="191">
        <f>('MMM 20322033'!M20*$H$1)+'MMM 20322033'!M20</f>
        <v>3726843.0971939773</v>
      </c>
      <c r="N20" s="163">
        <f t="shared" ref="N20:N22" si="3">SUM(B20:M20)</f>
        <v>34413130.332156621</v>
      </c>
    </row>
    <row r="21" spans="1:14" ht="15" thickBot="1" x14ac:dyDescent="0.35">
      <c r="A21" s="3" t="s">
        <v>11</v>
      </c>
      <c r="B21" s="191">
        <f>('MMM 20322033'!B21*$H$1)+'MMM 20322033'!B21</f>
        <v>1389097.5871760538</v>
      </c>
      <c r="C21" s="191">
        <f>('MMM 20322033'!C21*$H$1)+'MMM 20322033'!C21</f>
        <v>1382167.3386129248</v>
      </c>
      <c r="D21" s="191">
        <f>('MMM 20322033'!D21*$H$1)+'MMM 20322033'!D21</f>
        <v>1050548.6779250398</v>
      </c>
      <c r="E21" s="191">
        <f>('MMM 20322033'!E21*$H$1)+'MMM 20322033'!E21</f>
        <v>846645.80375417019</v>
      </c>
      <c r="F21" s="191">
        <f>('MMM 20322033'!F21*$H$1)+'MMM 20322033'!F21</f>
        <v>821355.86978153873</v>
      </c>
      <c r="G21" s="191">
        <f>('MMM 20322033'!G21*$H$1)+'MMM 20322033'!G21</f>
        <v>1246161.9801144274</v>
      </c>
      <c r="H21" s="191">
        <f>('MMM 20322033'!H21*$H$1)+'MMM 20322033'!H21</f>
        <v>841679.49871134479</v>
      </c>
      <c r="I21" s="191">
        <f>('MMM 20322033'!I21*$H$1)+'MMM 20322033'!I21</f>
        <v>787171.03165724373</v>
      </c>
      <c r="J21" s="191">
        <f>('MMM 20322033'!J21*$H$1)+'MMM 20322033'!J21</f>
        <v>739493.94795751164</v>
      </c>
      <c r="K21" s="191">
        <f>('MMM 20322033'!K21*$H$1)+'MMM 20322033'!K21</f>
        <v>797977.54442669614</v>
      </c>
      <c r="L21" s="191">
        <f>('MMM 20322033'!L21*$H$1)+'MMM 20322033'!L21</f>
        <v>879463.65891423356</v>
      </c>
      <c r="M21" s="191">
        <f>('MMM 20322033'!M21*$H$1)+'MMM 20322033'!M21</f>
        <v>1273231.7787424142</v>
      </c>
      <c r="N21" s="163">
        <f t="shared" si="3"/>
        <v>12054994.717773598</v>
      </c>
    </row>
    <row r="22" spans="1:14" ht="15" thickBot="1" x14ac:dyDescent="0.35">
      <c r="A22" s="3" t="s">
        <v>12</v>
      </c>
      <c r="B22" s="191">
        <f>('MMM 20322033'!B22*$H$1)+'MMM 20322033'!B22</f>
        <v>245843.60397221608</v>
      </c>
      <c r="C22" s="191">
        <f>('MMM 20322033'!C22*$H$1)+'MMM 20322033'!C22</f>
        <v>247585.48604771006</v>
      </c>
      <c r="D22" s="191">
        <f>('MMM 20322033'!D22*$H$1)+'MMM 20322033'!D22</f>
        <v>177743.01534119586</v>
      </c>
      <c r="E22" s="191">
        <f>('MMM 20322033'!E22*$H$1)+'MMM 20322033'!E22</f>
        <v>242352.24442676324</v>
      </c>
      <c r="F22" s="191">
        <f>('MMM 20322033'!F22*$H$1)+'MMM 20322033'!F22</f>
        <v>251884.18261964532</v>
      </c>
      <c r="G22" s="191">
        <f>('MMM 20322033'!G22*$H$1)+'MMM 20322033'!G22</f>
        <v>392684.26738678996</v>
      </c>
      <c r="H22" s="191">
        <f>('MMM 20322033'!H22*$H$1)+'MMM 20322033'!H22</f>
        <v>242618.26125008622</v>
      </c>
      <c r="I22" s="191">
        <f>('MMM 20322033'!I22*$H$1)+'MMM 20322033'!I22</f>
        <v>225233.81262204965</v>
      </c>
      <c r="J22" s="191">
        <f>('MMM 20322033'!J22*$H$1)+'MMM 20322033'!J22</f>
        <v>159396.55753070777</v>
      </c>
      <c r="K22" s="191">
        <f>('MMM 20322033'!K22*$H$1)+'MMM 20322033'!K22</f>
        <v>185193.89669772974</v>
      </c>
      <c r="L22" s="191">
        <f>('MMM 20322033'!L22*$H$1)+'MMM 20322033'!L22</f>
        <v>201842.3205737618</v>
      </c>
      <c r="M22" s="191">
        <f>('MMM 20322033'!M22*$H$1)+'MMM 20322033'!M22</f>
        <v>273182.89690960827</v>
      </c>
      <c r="N22" s="163">
        <f t="shared" si="3"/>
        <v>2845560.545378264</v>
      </c>
    </row>
    <row r="23" spans="1:14" ht="15" thickBot="1" x14ac:dyDescent="0.35">
      <c r="A23" s="1" t="s">
        <v>7</v>
      </c>
      <c r="B23" s="155">
        <f t="shared" ref="B23:M23" si="4">SUM(B19:B22)</f>
        <v>6125057.6954600979</v>
      </c>
      <c r="C23" s="155">
        <f t="shared" si="4"/>
        <v>6138583.4166744696</v>
      </c>
      <c r="D23" s="155">
        <f t="shared" si="4"/>
        <v>4759749.1804426424</v>
      </c>
      <c r="E23" s="155">
        <f t="shared" si="4"/>
        <v>3847990.2703208956</v>
      </c>
      <c r="F23" s="155">
        <f t="shared" si="4"/>
        <v>3845656.7040496496</v>
      </c>
      <c r="G23" s="155">
        <f t="shared" si="4"/>
        <v>5584019.5009896755</v>
      </c>
      <c r="H23" s="155">
        <f t="shared" si="4"/>
        <v>3725809.3604944581</v>
      </c>
      <c r="I23" s="155">
        <f t="shared" si="4"/>
        <v>3510304.4026006907</v>
      </c>
      <c r="J23" s="155">
        <f t="shared" si="4"/>
        <v>3653146.9073582306</v>
      </c>
      <c r="K23" s="155">
        <f t="shared" si="4"/>
        <v>4105735.1304332688</v>
      </c>
      <c r="L23" s="155">
        <f t="shared" si="4"/>
        <v>4302745.3246540688</v>
      </c>
      <c r="M23" s="155">
        <f t="shared" si="4"/>
        <v>6088124.565526153</v>
      </c>
      <c r="N23" s="155">
        <f>SUM(N19:N22)</f>
        <v>55686922.459004298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55686922.459004298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55686922.459004298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4245637714.6106691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4245637714.6106691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581A-C1D0-4746-B3AE-A5DA4E4816D9}">
  <dimension ref="A1:N33"/>
  <sheetViews>
    <sheetView workbookViewId="0">
      <selection activeCell="B11" sqref="B11"/>
    </sheetView>
  </sheetViews>
  <sheetFormatPr defaultRowHeight="14.4" x14ac:dyDescent="0.3"/>
  <cols>
    <col min="1" max="1" width="43.21875" customWidth="1"/>
    <col min="2" max="2" width="16.5546875" style="235" bestFit="1" customWidth="1"/>
    <col min="3" max="13" width="16.21875" style="235" bestFit="1" customWidth="1"/>
    <col min="14" max="14" width="16.5546875" style="235" bestFit="1" customWidth="1"/>
  </cols>
  <sheetData>
    <row r="1" spans="1:14" ht="15" thickBot="1" x14ac:dyDescent="0.35">
      <c r="A1" s="4" t="s">
        <v>189</v>
      </c>
      <c r="G1" s="248" t="s">
        <v>191</v>
      </c>
      <c r="H1" s="249">
        <v>4.4999999999999998E-2</v>
      </c>
    </row>
    <row r="2" spans="1:14" ht="15" thickBot="1" x14ac:dyDescent="0.35">
      <c r="A2" s="294" t="s">
        <v>238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142">
        <v>49126</v>
      </c>
      <c r="C3" s="142">
        <v>49157</v>
      </c>
      <c r="D3" s="142">
        <v>49188</v>
      </c>
      <c r="E3" s="142">
        <v>49218</v>
      </c>
      <c r="F3" s="142">
        <v>49249</v>
      </c>
      <c r="G3" s="142">
        <v>49279</v>
      </c>
      <c r="H3" s="142">
        <v>49310</v>
      </c>
      <c r="I3" s="142">
        <v>49341</v>
      </c>
      <c r="J3" s="142">
        <v>49369</v>
      </c>
      <c r="K3" s="142">
        <v>49400</v>
      </c>
      <c r="L3" s="142">
        <v>49430</v>
      </c>
      <c r="M3" s="142">
        <v>49461</v>
      </c>
      <c r="N3" s="236" t="s">
        <v>2</v>
      </c>
    </row>
    <row r="4" spans="1:14" ht="15" thickBot="1" x14ac:dyDescent="0.35">
      <c r="A4" s="2" t="s">
        <v>3</v>
      </c>
      <c r="B4" s="191">
        <f>('MMM 20332034'!B4*$H$1)+'MMM 20332034'!B4</f>
        <v>435091612.66347575</v>
      </c>
      <c r="C4" s="191">
        <f>('MMM 20332034'!C4*$H$1)+'MMM 20332034'!C4</f>
        <v>460575911.91388732</v>
      </c>
      <c r="D4" s="191">
        <f>('MMM 20332034'!D4*$H$1)+'MMM 20332034'!D4</f>
        <v>292296112.66428274</v>
      </c>
      <c r="E4" s="191">
        <f>('MMM 20332034'!E4*$H$1)+'MMM 20332034'!E4</f>
        <v>264147674.06208417</v>
      </c>
      <c r="F4" s="191">
        <f>('MMM 20332034'!F4*$H$1)+'MMM 20332034'!F4</f>
        <v>277721590.96676832</v>
      </c>
      <c r="G4" s="191">
        <f>('MMM 20332034'!G4*$H$1)+'MMM 20332034'!G4</f>
        <v>270763923.9642114</v>
      </c>
      <c r="H4" s="191">
        <f>('MMM 20332034'!H4*$H$1)+'MMM 20332034'!H4</f>
        <v>265689619.74921909</v>
      </c>
      <c r="I4" s="191">
        <f>('MMM 20332034'!I4*$H$1)+'MMM 20332034'!I4</f>
        <v>251327251.25280988</v>
      </c>
      <c r="J4" s="191">
        <f>('MMM 20332034'!J4*$H$1)+'MMM 20332034'!J4</f>
        <v>203154682.83506879</v>
      </c>
      <c r="K4" s="191">
        <f>('MMM 20332034'!K4*$H$1)+'MMM 20332034'!K4</f>
        <v>272555847.52058929</v>
      </c>
      <c r="L4" s="191">
        <f>('MMM 20332034'!L4*$H$1)+'MMM 20332034'!L4</f>
        <v>285137994.77201551</v>
      </c>
      <c r="M4" s="191">
        <f>('MMM 20332034'!M4*$H$1)+'MMM 20332034'!M4</f>
        <v>370482372.62944973</v>
      </c>
      <c r="N4" s="237">
        <f>SUM(B4:M4)</f>
        <v>3648944594.9938622</v>
      </c>
    </row>
    <row r="5" spans="1:14" ht="15" thickBot="1" x14ac:dyDescent="0.35">
      <c r="A5" s="3" t="s">
        <v>4</v>
      </c>
      <c r="B5" s="191">
        <f>('MMM 20332034'!B5*$H$1)+'MMM 20332034'!B5</f>
        <v>61817400.023647219</v>
      </c>
      <c r="C5" s="191">
        <f>('MMM 20332034'!C5*$H$1)+'MMM 20332034'!C5</f>
        <v>64539840.030834377</v>
      </c>
      <c r="D5" s="191">
        <f>('MMM 20332034'!D5*$H$1)+'MMM 20332034'!D5</f>
        <v>52980407.610922001</v>
      </c>
      <c r="E5" s="191">
        <f>('MMM 20332034'!E5*$H$1)+'MMM 20332034'!E5</f>
        <v>38547920.591938935</v>
      </c>
      <c r="F5" s="191">
        <f>('MMM 20332034'!F5*$H$1)+'MMM 20332034'!F5</f>
        <v>42192008.532376118</v>
      </c>
      <c r="G5" s="191">
        <f>('MMM 20332034'!G5*$H$1)+'MMM 20332034'!G5</f>
        <v>59538874.681603149</v>
      </c>
      <c r="H5" s="191">
        <f>('MMM 20332034'!H5*$H$1)+'MMM 20332034'!H5</f>
        <v>40816172.206276104</v>
      </c>
      <c r="I5" s="191">
        <f>('MMM 20332034'!I5*$H$1)+'MMM 20332034'!I5</f>
        <v>38128898.000061706</v>
      </c>
      <c r="J5" s="191">
        <f>('MMM 20332034'!J5*$H$1)+'MMM 20332034'!J5</f>
        <v>41375139.597308032</v>
      </c>
      <c r="K5" s="191">
        <f>('MMM 20332034'!K5*$H$1)+'MMM 20332034'!K5</f>
        <v>43138386.001426466</v>
      </c>
      <c r="L5" s="191">
        <f>('MMM 20332034'!L5*$H$1)+'MMM 20332034'!L5</f>
        <v>41671003.978214025</v>
      </c>
      <c r="M5" s="191">
        <f>('MMM 20332034'!M5*$H$1)+'MMM 20332034'!M5</f>
        <v>58272470.202647135</v>
      </c>
      <c r="N5" s="237">
        <f t="shared" ref="N5:N9" si="0">SUM(B5:M5)</f>
        <v>583018521.45725524</v>
      </c>
    </row>
    <row r="6" spans="1:14" ht="15" thickBot="1" x14ac:dyDescent="0.35">
      <c r="A6" s="3" t="s">
        <v>5</v>
      </c>
      <c r="B6" s="191">
        <f>('MMM 20332034'!B6*$H$1)+'MMM 20332034'!B6</f>
        <v>3150483.2743442184</v>
      </c>
      <c r="C6" s="191">
        <f>('MMM 20332034'!C6*$H$1)+'MMM 20332034'!C6</f>
        <v>2703053.9544918169</v>
      </c>
      <c r="D6" s="191">
        <f>('MMM 20332034'!D6*$H$1)+'MMM 20332034'!D6</f>
        <v>61003838.132514745</v>
      </c>
      <c r="E6" s="191">
        <f>('MMM 20332034'!E6*$H$1)+'MMM 20332034'!E6</f>
        <v>850743.79966727376</v>
      </c>
      <c r="F6" s="191">
        <f>('MMM 20332034'!F6*$H$1)+'MMM 20332034'!F6</f>
        <v>3701173.5550960614</v>
      </c>
      <c r="G6" s="191">
        <f>('MMM 20332034'!G6*$H$1)+'MMM 20332034'!G6</f>
        <v>3561118.2591336342</v>
      </c>
      <c r="H6" s="191">
        <f>('MMM 20332034'!H6*$H$1)+'MMM 20332034'!H6</f>
        <v>1848658.7386589767</v>
      </c>
      <c r="I6" s="191">
        <f>('MMM 20332034'!I6*$H$1)+'MMM 20332034'!I6</f>
        <v>1687848.4422389728</v>
      </c>
      <c r="J6" s="191">
        <f>('MMM 20332034'!J6*$H$1)+'MMM 20332034'!J6</f>
        <v>2363729.7512440714</v>
      </c>
      <c r="K6" s="191">
        <f>('MMM 20332034'!K6*$H$1)+'MMM 20332034'!K6</f>
        <v>2742136.5762078068</v>
      </c>
      <c r="L6" s="191">
        <f>('MMM 20332034'!L6*$H$1)+'MMM 20332034'!L6</f>
        <v>2900966.3401155532</v>
      </c>
      <c r="M6" s="191">
        <f>('MMM 20332034'!M6*$H$1)+'MMM 20332034'!M6</f>
        <v>5848633.1668010503</v>
      </c>
      <c r="N6" s="237">
        <f t="shared" si="0"/>
        <v>92362383.990514174</v>
      </c>
    </row>
    <row r="7" spans="1:14" ht="15" thickBot="1" x14ac:dyDescent="0.35">
      <c r="A7" s="3" t="s">
        <v>6</v>
      </c>
      <c r="B7" s="191">
        <f>('MMM 20332034'!B7*$H$1)+'MMM 20332034'!B7</f>
        <v>4116643.4650760246</v>
      </c>
      <c r="C7" s="191">
        <f>('MMM 20332034'!C7*$H$1)+'MMM 20332034'!C7</f>
        <v>4176157.9675391195</v>
      </c>
      <c r="D7" s="191">
        <f>('MMM 20332034'!D7*$H$1)+'MMM 20332034'!D7</f>
        <v>3530379.5793535695</v>
      </c>
      <c r="E7" s="191">
        <f>('MMM 20332034'!E7*$H$1)+'MMM 20332034'!E7</f>
        <v>2981717.699502565</v>
      </c>
      <c r="F7" s="191">
        <f>('MMM 20332034'!F7*$H$1)+'MMM 20332034'!F7</f>
        <v>3209777.2563226609</v>
      </c>
      <c r="G7" s="191">
        <f>('MMM 20332034'!G7*$H$1)+'MMM 20332034'!G7</f>
        <v>4991658.9042069623</v>
      </c>
      <c r="H7" s="191">
        <f>('MMM 20332034'!H7*$H$1)+'MMM 20332034'!H7</f>
        <v>3448289.5461245868</v>
      </c>
      <c r="I7" s="191">
        <f>('MMM 20332034'!I7*$H$1)+'MMM 20332034'!I7</f>
        <v>3103309.2222208586</v>
      </c>
      <c r="J7" s="191">
        <f>('MMM 20332034'!J7*$H$1)+'MMM 20332034'!J7</f>
        <v>2908894.893190722</v>
      </c>
      <c r="K7" s="191">
        <f>('MMM 20332034'!K7*$H$1)+'MMM 20332034'!K7</f>
        <v>3151581.8740253672</v>
      </c>
      <c r="L7" s="191">
        <f>('MMM 20332034'!L7*$H$1)+'MMM 20332034'!L7</f>
        <v>3412761.5985336383</v>
      </c>
      <c r="M7" s="191">
        <f>('MMM 20332034'!M7*$H$1)+'MMM 20332034'!M7</f>
        <v>4553541.4743698463</v>
      </c>
      <c r="N7" s="237">
        <f t="shared" si="0"/>
        <v>43584713.480465919</v>
      </c>
    </row>
    <row r="8" spans="1:14" ht="15" thickBot="1" x14ac:dyDescent="0.35">
      <c r="A8" s="3" t="s">
        <v>63</v>
      </c>
      <c r="B8" s="191">
        <f>('MMM 20332034'!B8*$H$1)+'MMM 20332034'!B8</f>
        <v>596476.59630260617</v>
      </c>
      <c r="C8" s="191">
        <f>('MMM 20332034'!C8*$H$1)+'MMM 20332034'!C8</f>
        <v>693428.20647228428</v>
      </c>
      <c r="D8" s="191">
        <f>('MMM 20332034'!D8*$H$1)+'MMM 20332034'!D8</f>
        <v>773548.1430213619</v>
      </c>
      <c r="E8" s="191">
        <f>('MMM 20332034'!E8*$H$1)+'MMM 20332034'!E8</f>
        <v>800163.79509391915</v>
      </c>
      <c r="F8" s="191">
        <f>('MMM 20332034'!F8*$H$1)+'MMM 20332034'!F8</f>
        <v>880180.17615354247</v>
      </c>
      <c r="G8" s="191">
        <f>('MMM 20332034'!G8*$H$1)+'MMM 20332034'!G8</f>
        <v>890681.85027821129</v>
      </c>
      <c r="H8" s="191">
        <f>('MMM 20332034'!H8*$H$1)+'MMM 20332034'!H8</f>
        <v>906790.72796322114</v>
      </c>
      <c r="I8" s="191">
        <f>('MMM 20332034'!I8*$H$1)+'MMM 20332034'!I8</f>
        <v>773439.14621801581</v>
      </c>
      <c r="J8" s="191">
        <f>('MMM 20332034'!J8*$H$1)+'MMM 20332034'!J8</f>
        <v>831303.06486157922</v>
      </c>
      <c r="K8" s="191">
        <f>('MMM 20332034'!K8*$H$1)+'MMM 20332034'!K8</f>
        <v>990141.31930250674</v>
      </c>
      <c r="L8" s="191">
        <f>('MMM 20332034'!L8*$H$1)+'MMM 20332034'!L8</f>
        <v>1141169.3186458477</v>
      </c>
      <c r="M8" s="191">
        <f>('MMM 20332034'!M8*$H$1)+'MMM 20332034'!M8</f>
        <v>1141169.3186458477</v>
      </c>
      <c r="N8" s="237">
        <f t="shared" si="0"/>
        <v>10418491.662958944</v>
      </c>
    </row>
    <row r="9" spans="1:14" ht="15" thickBot="1" x14ac:dyDescent="0.35">
      <c r="A9" s="4" t="s">
        <v>167</v>
      </c>
      <c r="B9" s="191">
        <f>('MMM 20332034'!B9*$H$1)+'MMM 20332034'!B9</f>
        <v>20425.545178853172</v>
      </c>
      <c r="C9" s="191">
        <f>('MMM 20332034'!C9*$H$1)+'MMM 20332034'!C9</f>
        <v>12552.816604710313</v>
      </c>
      <c r="D9" s="191">
        <f>('MMM 20332034'!D9*$H$1)+'MMM 20332034'!D9</f>
        <v>12552.816604710313</v>
      </c>
      <c r="E9" s="191">
        <f>('MMM 20332034'!E9*$H$1)+'MMM 20332034'!E9</f>
        <v>12148.066563669407</v>
      </c>
      <c r="F9" s="191">
        <f>('MMM 20332034'!F9*$H$1)+'MMM 20332034'!F9</f>
        <v>12552.816604710313</v>
      </c>
      <c r="G9" s="191">
        <f>('MMM 20332034'!G9*$H$1)+'MMM 20332034'!G9</f>
        <v>13907.7967777227</v>
      </c>
      <c r="H9" s="191">
        <f>('MMM 20332034'!H9*$H$1)+'MMM 20332034'!H9</f>
        <v>12498.480977384548</v>
      </c>
      <c r="I9" s="191">
        <f>('MMM 20332034'!I9*$H$1)+'MMM 20332034'!I9</f>
        <v>12498.480977384548</v>
      </c>
      <c r="J9" s="191">
        <f>('MMM 20332034'!J9*$H$1)+'MMM 20332034'!J9</f>
        <v>14452.785767596166</v>
      </c>
      <c r="K9" s="191">
        <f>('MMM 20332034'!K9*$H$1)+'MMM 20332034'!K9</f>
        <v>16000.306240487213</v>
      </c>
      <c r="L9" s="191">
        <f>('MMM 20332034'!L9*$H$1)+'MMM 20332034'!L9</f>
        <v>15482.15937296091</v>
      </c>
      <c r="M9" s="191">
        <f>('MMM 20332034'!M9*$H$1)+'MMM 20332034'!M9</f>
        <v>14800.141763564283</v>
      </c>
      <c r="N9" s="237">
        <f t="shared" si="0"/>
        <v>169872.2134337539</v>
      </c>
    </row>
    <row r="10" spans="1:14" ht="15" thickBot="1" x14ac:dyDescent="0.35">
      <c r="A10" s="1" t="s">
        <v>7</v>
      </c>
      <c r="B10" s="155">
        <f t="shared" ref="B10:L10" si="1">SUM(B4:B9)</f>
        <v>504793041.56802464</v>
      </c>
      <c r="C10" s="155">
        <f t="shared" si="1"/>
        <v>532700944.88982964</v>
      </c>
      <c r="D10" s="155">
        <f t="shared" si="1"/>
        <v>410596838.94669914</v>
      </c>
      <c r="E10" s="155">
        <f t="shared" si="1"/>
        <v>307340368.01485056</v>
      </c>
      <c r="F10" s="155">
        <f t="shared" si="1"/>
        <v>327717283.30332148</v>
      </c>
      <c r="G10" s="155">
        <f t="shared" si="1"/>
        <v>339760165.45621109</v>
      </c>
      <c r="H10" s="155">
        <f t="shared" si="1"/>
        <v>312722029.44921929</v>
      </c>
      <c r="I10" s="155">
        <f t="shared" si="1"/>
        <v>295033244.54452676</v>
      </c>
      <c r="J10" s="155">
        <f t="shared" si="1"/>
        <v>250648202.92744076</v>
      </c>
      <c r="K10" s="155">
        <f t="shared" si="1"/>
        <v>322594093.59779191</v>
      </c>
      <c r="L10" s="155">
        <f t="shared" si="1"/>
        <v>334279378.16689754</v>
      </c>
      <c r="M10" s="155">
        <f>SUM(M4:M9)</f>
        <v>440312986.93367714</v>
      </c>
      <c r="N10" s="155">
        <f>SUM(N4:N9)</f>
        <v>4378498577.7984905</v>
      </c>
    </row>
    <row r="11" spans="1:14" x14ac:dyDescent="0.3">
      <c r="B11" s="238" t="s">
        <v>240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9"/>
    </row>
    <row r="12" spans="1:14" ht="15" thickBot="1" x14ac:dyDescent="0.35">
      <c r="N12" s="240"/>
    </row>
    <row r="13" spans="1:14" ht="15" thickBot="1" x14ac:dyDescent="0.35">
      <c r="A13" s="55" t="s">
        <v>195</v>
      </c>
      <c r="B13" s="246">
        <f>N10</f>
        <v>4378498577.7984905</v>
      </c>
      <c r="G13" s="241"/>
      <c r="H13" s="241"/>
      <c r="I13" s="241"/>
      <c r="J13" s="241"/>
      <c r="K13" s="241"/>
      <c r="L13" s="241"/>
      <c r="M13" s="241"/>
      <c r="N13" s="241"/>
    </row>
    <row r="14" spans="1:14" ht="15" hidden="1" thickBot="1" x14ac:dyDescent="0.35">
      <c r="A14" s="54" t="s">
        <v>190</v>
      </c>
      <c r="B14" s="245"/>
      <c r="G14" s="241"/>
      <c r="H14" s="241"/>
      <c r="I14" s="241"/>
      <c r="J14" s="241"/>
      <c r="K14" s="241"/>
      <c r="L14" s="241"/>
      <c r="M14" s="241"/>
      <c r="N14" s="241"/>
    </row>
    <row r="15" spans="1:14" ht="15" hidden="1" thickBot="1" x14ac:dyDescent="0.35">
      <c r="A15" s="37"/>
      <c r="B15" s="243">
        <f>B13-B14</f>
        <v>4378498577.7984905</v>
      </c>
      <c r="G15" s="241"/>
      <c r="H15" s="241"/>
      <c r="I15" s="241"/>
      <c r="J15" s="241"/>
      <c r="K15" s="241"/>
      <c r="L15" s="241"/>
      <c r="M15" s="241"/>
      <c r="N15" s="241"/>
    </row>
    <row r="16" spans="1:14" ht="15" thickBot="1" x14ac:dyDescent="0.35"/>
    <row r="17" spans="1:14" ht="15" thickBot="1" x14ac:dyDescent="0.35">
      <c r="A17" s="294" t="s">
        <v>239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142">
        <f t="shared" ref="B18:M18" si="2">+B3</f>
        <v>49126</v>
      </c>
      <c r="C18" s="142">
        <f t="shared" si="2"/>
        <v>49157</v>
      </c>
      <c r="D18" s="142">
        <f t="shared" si="2"/>
        <v>49188</v>
      </c>
      <c r="E18" s="142">
        <f t="shared" si="2"/>
        <v>49218</v>
      </c>
      <c r="F18" s="142">
        <f t="shared" si="2"/>
        <v>49249</v>
      </c>
      <c r="G18" s="142">
        <f t="shared" si="2"/>
        <v>49279</v>
      </c>
      <c r="H18" s="142">
        <f t="shared" si="2"/>
        <v>49310</v>
      </c>
      <c r="I18" s="142">
        <f t="shared" si="2"/>
        <v>49341</v>
      </c>
      <c r="J18" s="142">
        <f t="shared" si="2"/>
        <v>49369</v>
      </c>
      <c r="K18" s="142">
        <f t="shared" si="2"/>
        <v>49400</v>
      </c>
      <c r="L18" s="142">
        <f t="shared" si="2"/>
        <v>49430</v>
      </c>
      <c r="M18" s="142">
        <f t="shared" si="2"/>
        <v>49461</v>
      </c>
      <c r="N18" s="236" t="s">
        <v>2</v>
      </c>
    </row>
    <row r="19" spans="1:14" ht="15" thickBot="1" x14ac:dyDescent="0.35">
      <c r="A19" s="2" t="s">
        <v>9</v>
      </c>
      <c r="B19" s="191">
        <f>('MMM 20332034'!B19*$H$1)+'MMM 20332034'!B19</f>
        <v>675355.37070315832</v>
      </c>
      <c r="C19" s="191">
        <f>('MMM 20332034'!C19*$H$1)+'MMM 20332034'!C19</f>
        <v>535748.24677667662</v>
      </c>
      <c r="D19" s="191">
        <f>('MMM 20332034'!D19*$H$1)+'MMM 20332034'!D19</f>
        <v>467943.50729004125</v>
      </c>
      <c r="E19" s="191">
        <f>('MMM 20332034'!E19*$H$1)+'MMM 20332034'!E19</f>
        <v>373035.08723331883</v>
      </c>
      <c r="F19" s="191">
        <f>('MMM 20332034'!F19*$H$1)+'MMM 20332034'!F19</f>
        <v>383903.63891179935</v>
      </c>
      <c r="G19" s="191">
        <f>('MMM 20332034'!G19*$H$1)+'MMM 20332034'!G19</f>
        <v>521824.11055495928</v>
      </c>
      <c r="H19" s="191">
        <f>('MMM 20332034'!H19*$H$1)+'MMM 20332034'!H19</f>
        <v>360968.37683860969</v>
      </c>
      <c r="I19" s="191">
        <f>('MMM 20332034'!I19*$H$1)+'MMM 20332034'!I19</f>
        <v>343043.69673006941</v>
      </c>
      <c r="J19" s="191">
        <f>('MMM 20332034'!J19*$H$1)+'MMM 20332034'!J19</f>
        <v>659064.35030950396</v>
      </c>
      <c r="K19" s="191">
        <f>('MMM 20332034'!K19*$H$1)+'MMM 20332034'!K19</f>
        <v>749510.22098650038</v>
      </c>
      <c r="L19" s="191">
        <f>('MMM 20332034'!L19*$H$1)+'MMM 20332034'!L19</f>
        <v>738100.11787672364</v>
      </c>
      <c r="M19" s="191">
        <f>('MMM 20332034'!M19*$H$1)+'MMM 20332034'!M19</f>
        <v>851535.79835076001</v>
      </c>
      <c r="N19" s="163">
        <f>SUM(B19:M19)</f>
        <v>6660032.5225621201</v>
      </c>
    </row>
    <row r="20" spans="1:14" ht="15" thickBot="1" x14ac:dyDescent="0.35">
      <c r="A20" s="3" t="s">
        <v>10</v>
      </c>
      <c r="B20" s="191">
        <f>('MMM 20332034'!B20*$H$1)+'MMM 20332034'!B20</f>
        <v>4016816.3763027019</v>
      </c>
      <c r="C20" s="191">
        <f>('MMM 20332034'!C20*$H$1)+'MMM 20332034'!C20</f>
        <v>4175979.7218777807</v>
      </c>
      <c r="D20" s="191">
        <f>('MMM 20332034'!D20*$H$1)+'MMM 20332034'!D20</f>
        <v>3222429.5668093036</v>
      </c>
      <c r="E20" s="191">
        <f>('MMM 20332034'!E20*$H$1)+'MMM 20332034'!E20</f>
        <v>2510111.7849029419</v>
      </c>
      <c r="F20" s="191">
        <f>('MMM 20332034'!F20*$H$1)+'MMM 20332034'!F20</f>
        <v>2513271.7620608471</v>
      </c>
      <c r="G20" s="191">
        <f>('MMM 20332034'!G20*$H$1)+'MMM 20332034'!G20</f>
        <v>3600881.9393404797</v>
      </c>
      <c r="H20" s="191">
        <f>('MMM 20332034'!H20*$H$1)+'MMM 20332034'!H20</f>
        <v>2399411.2457184037</v>
      </c>
      <c r="I20" s="191">
        <f>('MMM 20332034'!I20*$H$1)+'MMM 20332034'!I20</f>
        <v>2267261.3417157908</v>
      </c>
      <c r="J20" s="191">
        <f>('MMM 20332034'!J20*$H$1)+'MMM 20332034'!J20</f>
        <v>2219133.5896446579</v>
      </c>
      <c r="K20" s="191">
        <f>('MMM 20332034'!K20*$H$1)+'MMM 20332034'!K20</f>
        <v>2513568.8343412401</v>
      </c>
      <c r="L20" s="191">
        <f>('MMM 20332034'!L20*$H$1)+'MMM 20332034'!L20</f>
        <v>2628303.9978218232</v>
      </c>
      <c r="M20" s="191">
        <f>('MMM 20332034'!M20*$H$1)+'MMM 20332034'!M20</f>
        <v>3894551.0365677061</v>
      </c>
      <c r="N20" s="163">
        <f t="shared" ref="N20:N22" si="3">SUM(B20:M20)</f>
        <v>35961721.197103672</v>
      </c>
    </row>
    <row r="21" spans="1:14" ht="15" thickBot="1" x14ac:dyDescent="0.35">
      <c r="A21" s="3" t="s">
        <v>11</v>
      </c>
      <c r="B21" s="191">
        <f>('MMM 20332034'!B21*$H$1)+'MMM 20332034'!B21</f>
        <v>1451606.9785989763</v>
      </c>
      <c r="C21" s="191">
        <f>('MMM 20332034'!C21*$H$1)+'MMM 20332034'!C21</f>
        <v>1444364.8688505064</v>
      </c>
      <c r="D21" s="191">
        <f>('MMM 20332034'!D21*$H$1)+'MMM 20332034'!D21</f>
        <v>1097823.3684316666</v>
      </c>
      <c r="E21" s="191">
        <f>('MMM 20332034'!E21*$H$1)+'MMM 20332034'!E21</f>
        <v>884744.8649231079</v>
      </c>
      <c r="F21" s="191">
        <f>('MMM 20332034'!F21*$H$1)+'MMM 20332034'!F21</f>
        <v>858316.88392170798</v>
      </c>
      <c r="G21" s="191">
        <f>('MMM 20332034'!G21*$H$1)+'MMM 20332034'!G21</f>
        <v>1302239.2692195766</v>
      </c>
      <c r="H21" s="191">
        <f>('MMM 20332034'!H21*$H$1)+'MMM 20332034'!H21</f>
        <v>879555.0761533553</v>
      </c>
      <c r="I21" s="191">
        <f>('MMM 20332034'!I21*$H$1)+'MMM 20332034'!I21</f>
        <v>822593.72808181972</v>
      </c>
      <c r="J21" s="191">
        <f>('MMM 20332034'!J21*$H$1)+'MMM 20332034'!J21</f>
        <v>772771.17561559961</v>
      </c>
      <c r="K21" s="191">
        <f>('MMM 20332034'!K21*$H$1)+'MMM 20332034'!K21</f>
        <v>833886.53392589744</v>
      </c>
      <c r="L21" s="191">
        <f>('MMM 20332034'!L21*$H$1)+'MMM 20332034'!L21</f>
        <v>919039.52356537408</v>
      </c>
      <c r="M21" s="191">
        <f>('MMM 20332034'!M21*$H$1)+'MMM 20332034'!M21</f>
        <v>1330527.2087858228</v>
      </c>
      <c r="N21" s="163">
        <f t="shared" si="3"/>
        <v>12597469.480073409</v>
      </c>
    </row>
    <row r="22" spans="1:14" ht="15" thickBot="1" x14ac:dyDescent="0.35">
      <c r="A22" s="3" t="s">
        <v>12</v>
      </c>
      <c r="B22" s="191">
        <f>('MMM 20332034'!B22*$H$1)+'MMM 20332034'!B22</f>
        <v>256906.56615096581</v>
      </c>
      <c r="C22" s="191">
        <f>('MMM 20332034'!C22*$H$1)+'MMM 20332034'!C22</f>
        <v>258726.832919857</v>
      </c>
      <c r="D22" s="191">
        <f>('MMM 20332034'!D22*$H$1)+'MMM 20332034'!D22</f>
        <v>185741.45103154966</v>
      </c>
      <c r="E22" s="191">
        <f>('MMM 20332034'!E22*$H$1)+'MMM 20332034'!E22</f>
        <v>253258.09542596759</v>
      </c>
      <c r="F22" s="191">
        <f>('MMM 20332034'!F22*$H$1)+'MMM 20332034'!F22</f>
        <v>263218.97083752934</v>
      </c>
      <c r="G22" s="191">
        <f>('MMM 20332034'!G22*$H$1)+'MMM 20332034'!G22</f>
        <v>410355.05941919552</v>
      </c>
      <c r="H22" s="191">
        <f>('MMM 20332034'!H22*$H$1)+'MMM 20332034'!H22</f>
        <v>253536.08300634011</v>
      </c>
      <c r="I22" s="191">
        <f>('MMM 20332034'!I22*$H$1)+'MMM 20332034'!I22</f>
        <v>235369.33419004187</v>
      </c>
      <c r="J22" s="191">
        <f>('MMM 20332034'!J22*$H$1)+'MMM 20332034'!J22</f>
        <v>166569.40261958961</v>
      </c>
      <c r="K22" s="191">
        <f>('MMM 20332034'!K22*$H$1)+'MMM 20332034'!K22</f>
        <v>193527.62204912759</v>
      </c>
      <c r="L22" s="191">
        <f>('MMM 20332034'!L22*$H$1)+'MMM 20332034'!L22</f>
        <v>210925.22499958109</v>
      </c>
      <c r="M22" s="191">
        <f>('MMM 20332034'!M22*$H$1)+'MMM 20332034'!M22</f>
        <v>285476.12727054063</v>
      </c>
      <c r="N22" s="163">
        <f t="shared" si="3"/>
        <v>2973610.7699202858</v>
      </c>
    </row>
    <row r="23" spans="1:14" ht="15" thickBot="1" x14ac:dyDescent="0.35">
      <c r="A23" s="1" t="s">
        <v>7</v>
      </c>
      <c r="B23" s="155">
        <f t="shared" ref="B23:M23" si="4">SUM(B19:B22)</f>
        <v>6400685.2917558029</v>
      </c>
      <c r="C23" s="155">
        <f t="shared" si="4"/>
        <v>6414819.6704248209</v>
      </c>
      <c r="D23" s="155">
        <f t="shared" si="4"/>
        <v>4973937.8935625609</v>
      </c>
      <c r="E23" s="155">
        <f t="shared" si="4"/>
        <v>4021149.8324853363</v>
      </c>
      <c r="F23" s="155">
        <f t="shared" si="4"/>
        <v>4018711.2557318839</v>
      </c>
      <c r="G23" s="155">
        <f t="shared" si="4"/>
        <v>5835300.3785342108</v>
      </c>
      <c r="H23" s="155">
        <f t="shared" si="4"/>
        <v>3893470.7817167086</v>
      </c>
      <c r="I23" s="155">
        <f t="shared" si="4"/>
        <v>3668268.1007177215</v>
      </c>
      <c r="J23" s="155">
        <f t="shared" si="4"/>
        <v>3817538.5181893506</v>
      </c>
      <c r="K23" s="155">
        <f t="shared" si="4"/>
        <v>4290493.2113027656</v>
      </c>
      <c r="L23" s="155">
        <f t="shared" si="4"/>
        <v>4496368.8642635029</v>
      </c>
      <c r="M23" s="155">
        <f t="shared" si="4"/>
        <v>6362090.1709748292</v>
      </c>
      <c r="N23" s="155">
        <f>SUM(N19:N22)</f>
        <v>58192833.969659492</v>
      </c>
    </row>
    <row r="24" spans="1:14" x14ac:dyDescent="0.3">
      <c r="B24" s="238" t="str">
        <f>B11</f>
        <v>Projections with projected CPI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9"/>
    </row>
    <row r="25" spans="1:14" ht="15" thickBot="1" x14ac:dyDescent="0.35"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ht="15" thickBot="1" x14ac:dyDescent="0.35">
      <c r="A26" s="55" t="str">
        <f>A13</f>
        <v>Projected Budged 2026/2027</v>
      </c>
      <c r="B26" s="246">
        <f>N23</f>
        <v>58192833.969659492</v>
      </c>
      <c r="N26" s="240"/>
    </row>
    <row r="27" spans="1:14" ht="15" hidden="1" thickBot="1" x14ac:dyDescent="0.35">
      <c r="A27" s="54" t="s">
        <v>190</v>
      </c>
      <c r="B27" s="245"/>
      <c r="N27" s="240"/>
    </row>
    <row r="28" spans="1:14" ht="15" hidden="1" thickBot="1" x14ac:dyDescent="0.35">
      <c r="A28" s="37"/>
      <c r="B28" s="243">
        <f>B26-B27</f>
        <v>58192833.969659492</v>
      </c>
    </row>
    <row r="30" spans="1:14" ht="15" thickBot="1" x14ac:dyDescent="0.35"/>
    <row r="31" spans="1:14" ht="15" thickBot="1" x14ac:dyDescent="0.35">
      <c r="A31" s="55" t="str">
        <f>"Total "&amp;A13</f>
        <v>Total Projected Budged 2026/2027</v>
      </c>
      <c r="B31" s="246">
        <f>B26+B13</f>
        <v>4436691411.7681503</v>
      </c>
    </row>
    <row r="32" spans="1:14" ht="15" hidden="1" thickBot="1" x14ac:dyDescent="0.35">
      <c r="A32" s="54" t="s">
        <v>58</v>
      </c>
      <c r="B32" s="247">
        <f>B14+B27</f>
        <v>0</v>
      </c>
    </row>
    <row r="33" spans="1:2" ht="15" hidden="1" thickBot="1" x14ac:dyDescent="0.35">
      <c r="A33" s="35" t="s">
        <v>59</v>
      </c>
      <c r="B33" s="242">
        <f>B15+B28</f>
        <v>4436691411.7681503</v>
      </c>
    </row>
  </sheetData>
  <mergeCells count="2">
    <mergeCell ref="A2:N2"/>
    <mergeCell ref="A17:N1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A83D-9D2F-4C66-AA0A-C0A8101E5AC7}">
  <dimension ref="A1:L5"/>
  <sheetViews>
    <sheetView workbookViewId="0">
      <selection activeCell="H17" sqref="H17"/>
    </sheetView>
  </sheetViews>
  <sheetFormatPr defaultRowHeight="14.4" x14ac:dyDescent="0.3"/>
  <cols>
    <col min="1" max="2" width="10.5546875" bestFit="1" customWidth="1"/>
    <col min="3" max="12" width="11" bestFit="1" customWidth="1"/>
  </cols>
  <sheetData>
    <row r="1" spans="1:12" x14ac:dyDescent="0.3">
      <c r="A1" s="289">
        <v>1</v>
      </c>
      <c r="B1" s="289">
        <v>2</v>
      </c>
      <c r="C1" s="289">
        <v>3</v>
      </c>
      <c r="D1" s="289">
        <v>4</v>
      </c>
      <c r="E1" s="289">
        <v>5</v>
      </c>
      <c r="F1" s="289">
        <v>6</v>
      </c>
      <c r="G1" s="289">
        <v>7</v>
      </c>
      <c r="H1" s="289">
        <v>8</v>
      </c>
      <c r="I1" s="289">
        <v>9</v>
      </c>
      <c r="J1" s="289">
        <v>10</v>
      </c>
      <c r="K1" s="289">
        <v>11</v>
      </c>
      <c r="L1" s="289">
        <v>12</v>
      </c>
    </row>
    <row r="2" spans="1:12" x14ac:dyDescent="0.3">
      <c r="A2" s="290">
        <v>45108</v>
      </c>
      <c r="B2" s="290">
        <v>45474</v>
      </c>
      <c r="C2" s="290">
        <v>45839</v>
      </c>
      <c r="D2" s="290">
        <v>46204</v>
      </c>
      <c r="E2" s="290">
        <v>46569</v>
      </c>
      <c r="F2" s="290">
        <v>46935</v>
      </c>
      <c r="G2" s="290">
        <v>47300</v>
      </c>
      <c r="H2" s="290">
        <v>47665</v>
      </c>
      <c r="I2" s="290">
        <v>48030</v>
      </c>
      <c r="J2" s="290">
        <v>48396</v>
      </c>
      <c r="K2" s="290">
        <v>48761</v>
      </c>
      <c r="L2" s="290">
        <v>49126</v>
      </c>
    </row>
    <row r="3" spans="1:12" x14ac:dyDescent="0.3">
      <c r="A3" s="290">
        <v>45473</v>
      </c>
      <c r="B3" s="290">
        <v>45838</v>
      </c>
      <c r="C3" s="290">
        <v>46203</v>
      </c>
      <c r="D3" s="290">
        <v>46568</v>
      </c>
      <c r="E3" s="290">
        <v>46934</v>
      </c>
      <c r="F3" s="290">
        <v>47299</v>
      </c>
      <c r="G3" s="290">
        <v>47664</v>
      </c>
      <c r="H3" s="290">
        <v>48029</v>
      </c>
      <c r="I3" s="290">
        <v>48395</v>
      </c>
      <c r="J3" s="290">
        <v>48760</v>
      </c>
      <c r="K3" s="290">
        <v>49125</v>
      </c>
      <c r="L3" s="290">
        <v>49490</v>
      </c>
    </row>
    <row r="4" spans="1:12" x14ac:dyDescent="0.3">
      <c r="A4" s="291" t="s">
        <v>214</v>
      </c>
      <c r="B4" s="291" t="s">
        <v>215</v>
      </c>
      <c r="C4" s="291" t="s">
        <v>216</v>
      </c>
      <c r="D4" s="291" t="s">
        <v>217</v>
      </c>
      <c r="E4" s="291" t="s">
        <v>218</v>
      </c>
      <c r="F4" s="291" t="s">
        <v>219</v>
      </c>
      <c r="G4" s="291" t="s">
        <v>220</v>
      </c>
      <c r="H4" s="291" t="s">
        <v>221</v>
      </c>
      <c r="I4" s="291" t="s">
        <v>222</v>
      </c>
      <c r="J4" s="291" t="s">
        <v>223</v>
      </c>
      <c r="K4" s="291" t="s">
        <v>224</v>
      </c>
      <c r="L4" s="291" t="s">
        <v>225</v>
      </c>
    </row>
    <row r="5" spans="1:12" x14ac:dyDescent="0.3">
      <c r="C5">
        <f>'MMM 20252026 Projections '!B32</f>
        <v>2932253350</v>
      </c>
      <c r="D5">
        <f>'MMM 20262027 Bulk Purchases'!B31</f>
        <v>3119815413.7058249</v>
      </c>
      <c r="E5">
        <f>'MMM 20272028 Bulk Purchases'!B31</f>
        <v>3260207107.3225861</v>
      </c>
      <c r="F5">
        <f>'MMM 20282029 Bulk Purchases'!B31</f>
        <v>3406916427.1521029</v>
      </c>
      <c r="G5">
        <f>'MMM 20292030'!B31</f>
        <v>3560227666.3739476</v>
      </c>
      <c r="H5">
        <f>'MMM 20302031'!B31</f>
        <v>3720437911.360775</v>
      </c>
      <c r="I5">
        <f>'MMM 20312032'!B31</f>
        <v>3887857617.3720098</v>
      </c>
      <c r="J5">
        <f>'MMM 20322033'!B31</f>
        <v>4062811210.1537499</v>
      </c>
      <c r="K5">
        <f>'MMM 20332034'!B31</f>
        <v>4245637714.6106691</v>
      </c>
      <c r="L5">
        <f>'MMM 20342035'!B31</f>
        <v>4436691411.7681503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workbookViewId="0">
      <selection activeCell="E14" sqref="E14"/>
    </sheetView>
  </sheetViews>
  <sheetFormatPr defaultRowHeight="14.4" x14ac:dyDescent="0.3"/>
  <cols>
    <col min="1" max="1" width="49.44140625" bestFit="1" customWidth="1"/>
    <col min="2" max="2" width="16.5546875" bestFit="1" customWidth="1"/>
    <col min="3" max="13" width="16.21875" bestFit="1" customWidth="1"/>
    <col min="14" max="14" width="16.5546875" bestFit="1" customWidth="1"/>
  </cols>
  <sheetData>
    <row r="1" spans="1:14" ht="15" thickBot="1" x14ac:dyDescent="0.35"/>
    <row r="2" spans="1:14" ht="15" thickBot="1" x14ac:dyDescent="0.35">
      <c r="A2" s="294" t="s">
        <v>22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1"/>
    </row>
    <row r="3" spans="1:14" ht="15" thickBot="1" x14ac:dyDescent="0.35">
      <c r="A3" s="1" t="s">
        <v>1</v>
      </c>
      <c r="B3" s="40">
        <v>44040</v>
      </c>
      <c r="C3" s="24">
        <v>44044</v>
      </c>
      <c r="D3" s="24">
        <v>44075</v>
      </c>
      <c r="E3" s="24">
        <v>44105</v>
      </c>
      <c r="F3" s="24">
        <v>44136</v>
      </c>
      <c r="G3" s="24">
        <v>44166</v>
      </c>
      <c r="H3" s="24">
        <v>44197</v>
      </c>
      <c r="I3" s="24">
        <v>44228</v>
      </c>
      <c r="J3" s="24">
        <v>44256</v>
      </c>
      <c r="K3" s="24">
        <v>44287</v>
      </c>
      <c r="L3" s="24">
        <v>44317</v>
      </c>
      <c r="M3" s="24">
        <v>44348</v>
      </c>
      <c r="N3" s="70" t="s">
        <v>2</v>
      </c>
    </row>
    <row r="4" spans="1:14" ht="15" thickBot="1" x14ac:dyDescent="0.35">
      <c r="A4" s="2" t="s">
        <v>3</v>
      </c>
      <c r="B4" s="72">
        <v>140751831.34090352</v>
      </c>
      <c r="C4" s="72">
        <v>125099597.20377059</v>
      </c>
      <c r="D4" s="72">
        <v>70940366.349334627</v>
      </c>
      <c r="E4" s="72">
        <v>79470166.575201303</v>
      </c>
      <c r="F4" s="72">
        <v>73172938.283812925</v>
      </c>
      <c r="G4" s="72">
        <v>73517129.713456392</v>
      </c>
      <c r="H4" s="72">
        <v>78592612.42740199</v>
      </c>
      <c r="I4" s="72">
        <v>84312087.105124816</v>
      </c>
      <c r="J4" s="72">
        <v>78019820.084537417</v>
      </c>
      <c r="K4" s="72">
        <v>85706718.395112157</v>
      </c>
      <c r="L4" s="72">
        <v>93174089.833615765</v>
      </c>
      <c r="M4" s="72">
        <v>152172122.00827771</v>
      </c>
      <c r="N4" s="69">
        <f t="shared" ref="N4:N8" si="0">SUM(B4:M4)</f>
        <v>1134929479.3205492</v>
      </c>
    </row>
    <row r="5" spans="1:14" ht="15" thickBot="1" x14ac:dyDescent="0.35">
      <c r="A5" s="3" t="s">
        <v>4</v>
      </c>
      <c r="B5" s="73">
        <v>18710326.572181836</v>
      </c>
      <c r="C5" s="73">
        <v>17341765.321524911</v>
      </c>
      <c r="D5" s="73">
        <v>10143403.838597707</v>
      </c>
      <c r="E5" s="73">
        <v>11358598.724270746</v>
      </c>
      <c r="F5" s="73">
        <v>10279546.727044867</v>
      </c>
      <c r="G5" s="73">
        <v>11098363.729701992</v>
      </c>
      <c r="H5" s="73">
        <v>11265177.999130987</v>
      </c>
      <c r="I5" s="73">
        <v>11398028.919191394</v>
      </c>
      <c r="J5" s="73">
        <v>11773203.946460601</v>
      </c>
      <c r="K5" s="73">
        <v>12369100.478329198</v>
      </c>
      <c r="L5" s="73">
        <v>13341146.90414473</v>
      </c>
      <c r="M5" s="73">
        <v>20687925.078515332</v>
      </c>
      <c r="N5" s="65">
        <f t="shared" si="0"/>
        <v>159766588.23909429</v>
      </c>
    </row>
    <row r="6" spans="1:14" ht="15" thickBot="1" x14ac:dyDescent="0.35">
      <c r="A6" s="63" t="s">
        <v>5</v>
      </c>
      <c r="B6" s="71">
        <v>95753.837538137246</v>
      </c>
      <c r="C6" s="71">
        <v>95753.837538137246</v>
      </c>
      <c r="D6" s="71">
        <v>92708.662492754782</v>
      </c>
      <c r="E6" s="71">
        <v>103119.51734876318</v>
      </c>
      <c r="F6" s="71">
        <v>99840.098069120548</v>
      </c>
      <c r="G6" s="71">
        <v>103119.51734876318</v>
      </c>
      <c r="H6" s="71">
        <v>110485.19715938912</v>
      </c>
      <c r="I6" s="71">
        <v>99814.070931980532</v>
      </c>
      <c r="J6" s="71">
        <v>110485.19715938912</v>
      </c>
      <c r="K6" s="71">
        <v>114102.96922185205</v>
      </c>
      <c r="L6" s="71">
        <v>117850.87697001507</v>
      </c>
      <c r="M6" s="71">
        <v>114380.59201801228</v>
      </c>
      <c r="N6" s="65">
        <f t="shared" si="0"/>
        <v>1257414.3737963142</v>
      </c>
    </row>
    <row r="7" spans="1:14" ht="15" thickBot="1" x14ac:dyDescent="0.35">
      <c r="A7" s="3" t="s">
        <v>6</v>
      </c>
      <c r="B7" s="73">
        <v>1368141.1357439854</v>
      </c>
      <c r="C7" s="73">
        <v>1264199.3661714951</v>
      </c>
      <c r="D7" s="73">
        <v>793710.85151765682</v>
      </c>
      <c r="E7" s="73">
        <v>891600.0650734161</v>
      </c>
      <c r="F7" s="73">
        <v>827660.47392132995</v>
      </c>
      <c r="G7" s="73">
        <v>893577.08957404306</v>
      </c>
      <c r="H7" s="73">
        <v>935949.98602159659</v>
      </c>
      <c r="I7" s="73">
        <v>885751.34310385492</v>
      </c>
      <c r="J7" s="73">
        <v>923331.41144857183</v>
      </c>
      <c r="K7" s="73">
        <v>924895.30907702073</v>
      </c>
      <c r="L7" s="73">
        <v>973221.44314565114</v>
      </c>
      <c r="M7" s="73">
        <v>1505833.1598113053</v>
      </c>
      <c r="N7" s="65">
        <f t="shared" si="0"/>
        <v>12187871.634609926</v>
      </c>
    </row>
    <row r="8" spans="1:14" ht="15" thickBot="1" x14ac:dyDescent="0.35">
      <c r="A8" s="4" t="s">
        <v>17</v>
      </c>
      <c r="B8" s="74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6">
        <v>0</v>
      </c>
      <c r="N8" s="23">
        <f t="shared" si="0"/>
        <v>0</v>
      </c>
    </row>
    <row r="9" spans="1:14" ht="15" thickBot="1" x14ac:dyDescent="0.35">
      <c r="A9" s="1" t="s">
        <v>7</v>
      </c>
      <c r="B9" s="31">
        <f>SUM(B4:B8)</f>
        <v>160926052.88636744</v>
      </c>
      <c r="C9" s="31">
        <f t="shared" ref="C9:L9" si="1">SUM(C4:C8)</f>
        <v>143801315.72900513</v>
      </c>
      <c r="D9" s="31">
        <f t="shared" si="1"/>
        <v>81970189.701942757</v>
      </c>
      <c r="E9" s="31">
        <f t="shared" si="1"/>
        <v>91823484.881894231</v>
      </c>
      <c r="F9" s="31">
        <f t="shared" si="1"/>
        <v>84379985.582848236</v>
      </c>
      <c r="G9" s="31">
        <f t="shared" si="1"/>
        <v>85612190.050081193</v>
      </c>
      <c r="H9" s="31">
        <f t="shared" si="1"/>
        <v>90904225.609713972</v>
      </c>
      <c r="I9" s="31">
        <f t="shared" si="1"/>
        <v>96695681.438352048</v>
      </c>
      <c r="J9" s="31">
        <f t="shared" si="1"/>
        <v>90826840.639605984</v>
      </c>
      <c r="K9" s="31">
        <f t="shared" si="1"/>
        <v>99114817.151740223</v>
      </c>
      <c r="L9" s="31">
        <f t="shared" si="1"/>
        <v>107606309.05787615</v>
      </c>
      <c r="M9" s="31">
        <f>SUM(M4:M8)</f>
        <v>174480260.83862236</v>
      </c>
      <c r="N9" s="27">
        <f>+N4+N5+N6+N7+N8</f>
        <v>1308141353.5680497</v>
      </c>
    </row>
    <row r="10" spans="1:14" x14ac:dyDescent="0.3">
      <c r="B10" s="302" t="s">
        <v>13</v>
      </c>
      <c r="C10" s="302"/>
      <c r="D10" s="302"/>
      <c r="E10" s="302"/>
      <c r="F10" s="302"/>
      <c r="G10" s="303"/>
      <c r="H10" s="298"/>
      <c r="I10" s="298"/>
      <c r="J10" s="298"/>
      <c r="K10" s="298"/>
      <c r="L10" s="298"/>
      <c r="M10" s="298"/>
      <c r="N10" s="298"/>
    </row>
    <row r="11" spans="1:14" ht="15" thickBot="1" x14ac:dyDescent="0.35">
      <c r="B11" s="53"/>
      <c r="C11" s="53"/>
      <c r="N11" s="39"/>
    </row>
    <row r="12" spans="1:14" ht="16.2" thickBot="1" x14ac:dyDescent="0.35">
      <c r="A12" s="33" t="s">
        <v>36</v>
      </c>
      <c r="B12" s="34">
        <f>N9</f>
        <v>1308141353.5680497</v>
      </c>
      <c r="D12" s="83"/>
      <c r="G12" s="32"/>
      <c r="H12" s="32"/>
      <c r="I12" s="64"/>
      <c r="J12" s="32"/>
      <c r="K12" s="32"/>
      <c r="L12" s="32"/>
      <c r="M12" s="32"/>
      <c r="N12" s="32"/>
    </row>
    <row r="13" spans="1:14" ht="15" thickBot="1" x14ac:dyDescent="0.35">
      <c r="A13" s="35" t="s">
        <v>23</v>
      </c>
      <c r="B13" s="36"/>
      <c r="G13" s="32"/>
      <c r="H13" s="32"/>
      <c r="I13" s="32"/>
      <c r="J13" s="32"/>
      <c r="K13" s="32"/>
      <c r="L13" s="32"/>
      <c r="M13" s="32"/>
      <c r="N13" s="32"/>
    </row>
    <row r="14" spans="1:14" ht="15" thickBot="1" x14ac:dyDescent="0.35">
      <c r="A14" s="37" t="s">
        <v>16</v>
      </c>
      <c r="B14" s="38">
        <f>B12-B13</f>
        <v>1308141353.5680497</v>
      </c>
      <c r="G14" s="32"/>
      <c r="H14" s="32"/>
      <c r="I14" s="32"/>
      <c r="J14" s="32"/>
      <c r="K14" s="32"/>
      <c r="L14" s="32"/>
      <c r="M14" s="32"/>
      <c r="N14" s="32"/>
    </row>
    <row r="15" spans="1:14" ht="15.6" thickTop="1" thickBot="1" x14ac:dyDescent="0.35"/>
    <row r="16" spans="1:14" ht="15" thickBot="1" x14ac:dyDescent="0.35">
      <c r="A16" s="294" t="s">
        <v>24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</row>
    <row r="17" spans="1:14" ht="15" thickBot="1" x14ac:dyDescent="0.35">
      <c r="A17" s="1" t="s">
        <v>1</v>
      </c>
      <c r="B17" s="66">
        <f t="shared" ref="B17:L17" si="2">+B3</f>
        <v>44040</v>
      </c>
      <c r="C17" s="67">
        <f t="shared" si="2"/>
        <v>44044</v>
      </c>
      <c r="D17" s="67">
        <f t="shared" si="2"/>
        <v>44075</v>
      </c>
      <c r="E17" s="67">
        <f t="shared" si="2"/>
        <v>44105</v>
      </c>
      <c r="F17" s="67">
        <f t="shared" si="2"/>
        <v>44136</v>
      </c>
      <c r="G17" s="67">
        <f t="shared" si="2"/>
        <v>44166</v>
      </c>
      <c r="H17" s="67">
        <f t="shared" si="2"/>
        <v>44197</v>
      </c>
      <c r="I17" s="67">
        <f t="shared" si="2"/>
        <v>44228</v>
      </c>
      <c r="J17" s="67">
        <f t="shared" si="2"/>
        <v>44256</v>
      </c>
      <c r="K17" s="67">
        <f t="shared" si="2"/>
        <v>44287</v>
      </c>
      <c r="L17" s="67">
        <f t="shared" si="2"/>
        <v>44317</v>
      </c>
      <c r="M17" s="68">
        <f>+M3</f>
        <v>44348</v>
      </c>
      <c r="N17" s="26" t="s">
        <v>2</v>
      </c>
    </row>
    <row r="18" spans="1:14" ht="15" thickBot="1" x14ac:dyDescent="0.35">
      <c r="A18" s="2" t="s">
        <v>9</v>
      </c>
      <c r="B18" s="78">
        <v>257201.99363713205</v>
      </c>
      <c r="C18" s="78">
        <v>257004.76284539505</v>
      </c>
      <c r="D18" s="78">
        <v>176499.37051543937</v>
      </c>
      <c r="E18" s="78">
        <v>197012.01872303744</v>
      </c>
      <c r="F18" s="78">
        <v>183386.48249560996</v>
      </c>
      <c r="G18" s="78">
        <v>195037.89623966644</v>
      </c>
      <c r="H18" s="78">
        <v>208150.27862353955</v>
      </c>
      <c r="I18" s="78">
        <v>194256.58323715924</v>
      </c>
      <c r="J18" s="78">
        <v>207702.33070222524</v>
      </c>
      <c r="K18" s="78">
        <v>230073.69390833107</v>
      </c>
      <c r="L18" s="78">
        <v>238498.18330696685</v>
      </c>
      <c r="M18" s="78">
        <v>296362.48322054651</v>
      </c>
      <c r="N18" s="65">
        <f t="shared" ref="N18:N21" si="3">SUM(B18:M18)</f>
        <v>2641186.0774550489</v>
      </c>
    </row>
    <row r="19" spans="1:14" ht="15" thickBot="1" x14ac:dyDescent="0.35">
      <c r="A19" s="3" t="s">
        <v>10</v>
      </c>
      <c r="B19" s="78">
        <v>1331636.1152678705</v>
      </c>
      <c r="C19" s="78">
        <v>1219753.7929188572</v>
      </c>
      <c r="D19" s="78">
        <v>679995.80663604825</v>
      </c>
      <c r="E19" s="78">
        <v>728050.30412466428</v>
      </c>
      <c r="F19" s="78">
        <v>602972.65043918998</v>
      </c>
      <c r="G19" s="78">
        <v>684085.50667427224</v>
      </c>
      <c r="H19" s="78">
        <v>707832.38521202514</v>
      </c>
      <c r="I19" s="78">
        <v>686766.32374218712</v>
      </c>
      <c r="J19" s="78">
        <v>743377.5077078318</v>
      </c>
      <c r="K19" s="78">
        <v>854064.87915738369</v>
      </c>
      <c r="L19" s="78">
        <v>965149.03892523493</v>
      </c>
      <c r="M19" s="78">
        <v>1499073.2156738867</v>
      </c>
      <c r="N19" s="65">
        <f t="shared" si="3"/>
        <v>10702757.526479449</v>
      </c>
    </row>
    <row r="20" spans="1:14" ht="15" thickBot="1" x14ac:dyDescent="0.35">
      <c r="A20" s="3" t="s">
        <v>11</v>
      </c>
      <c r="B20" s="78">
        <v>472071.98928241711</v>
      </c>
      <c r="C20" s="78">
        <v>450939.68051899795</v>
      </c>
      <c r="D20" s="78">
        <v>257124.26297311857</v>
      </c>
      <c r="E20" s="78">
        <v>258618.27368120439</v>
      </c>
      <c r="F20" s="78">
        <v>215239.93513640709</v>
      </c>
      <c r="G20" s="78">
        <v>244927.08633467322</v>
      </c>
      <c r="H20" s="78">
        <v>254771.40634721064</v>
      </c>
      <c r="I20" s="78">
        <v>244849.51703600062</v>
      </c>
      <c r="J20" s="78">
        <v>240294.58857919264</v>
      </c>
      <c r="K20" s="78">
        <v>284330.9268630633</v>
      </c>
      <c r="L20" s="78">
        <v>331059.5803022894</v>
      </c>
      <c r="M20" s="78">
        <v>533379.08577895653</v>
      </c>
      <c r="N20" s="65">
        <f t="shared" si="3"/>
        <v>3787606.3328335313</v>
      </c>
    </row>
    <row r="21" spans="1:14" ht="15" thickBot="1" x14ac:dyDescent="0.35">
      <c r="A21" s="3" t="s">
        <v>12</v>
      </c>
      <c r="B21" s="78">
        <v>112994.52047590454</v>
      </c>
      <c r="C21" s="78">
        <v>106765.24408181677</v>
      </c>
      <c r="D21" s="78">
        <v>68141.249858897354</v>
      </c>
      <c r="E21" s="78">
        <v>71276.46937794963</v>
      </c>
      <c r="F21" s="78">
        <v>65369.804090596488</v>
      </c>
      <c r="G21" s="78">
        <v>74186.590095684529</v>
      </c>
      <c r="H21" s="78">
        <v>79660.380535317847</v>
      </c>
      <c r="I21" s="78">
        <v>71739.171215467097</v>
      </c>
      <c r="J21" s="78">
        <v>69661.605756147183</v>
      </c>
      <c r="K21" s="78">
        <v>85722.130208043338</v>
      </c>
      <c r="L21" s="78">
        <v>92018.516113658989</v>
      </c>
      <c r="M21" s="78">
        <v>132435.5758510007</v>
      </c>
      <c r="N21" s="65">
        <f t="shared" si="3"/>
        <v>1029971.2576604845</v>
      </c>
    </row>
    <row r="22" spans="1:14" ht="15" thickBot="1" x14ac:dyDescent="0.35">
      <c r="A22" s="1" t="s">
        <v>7</v>
      </c>
      <c r="B22" s="77">
        <f>SUM(B18:B21)</f>
        <v>2173904.618663324</v>
      </c>
      <c r="C22" s="77">
        <f t="shared" ref="C22:M22" si="4">SUM(C18:C21)</f>
        <v>2034463.480365067</v>
      </c>
      <c r="D22" s="77">
        <f t="shared" si="4"/>
        <v>1181760.6899835037</v>
      </c>
      <c r="E22" s="77">
        <f t="shared" si="4"/>
        <v>1254957.0659068557</v>
      </c>
      <c r="F22" s="77">
        <f t="shared" si="4"/>
        <v>1066968.8721618035</v>
      </c>
      <c r="G22" s="77">
        <f t="shared" si="4"/>
        <v>1198237.0793442966</v>
      </c>
      <c r="H22" s="77">
        <f t="shared" si="4"/>
        <v>1250414.450718093</v>
      </c>
      <c r="I22" s="77">
        <f t="shared" si="4"/>
        <v>1197611.5952308141</v>
      </c>
      <c r="J22" s="77">
        <f t="shared" si="4"/>
        <v>1261036.0327453967</v>
      </c>
      <c r="K22" s="77">
        <f t="shared" si="4"/>
        <v>1454191.6301368214</v>
      </c>
      <c r="L22" s="77">
        <f t="shared" si="4"/>
        <v>1626725.3186481502</v>
      </c>
      <c r="M22" s="77">
        <f t="shared" si="4"/>
        <v>2461250.3605243908</v>
      </c>
      <c r="N22" s="27">
        <f>+N18+N19+N20+N21</f>
        <v>18161521.194428515</v>
      </c>
    </row>
    <row r="23" spans="1:14" x14ac:dyDescent="0.3">
      <c r="B23" s="302" t="s">
        <v>13</v>
      </c>
      <c r="C23" s="302"/>
      <c r="D23" s="302"/>
      <c r="E23" s="302"/>
      <c r="F23" s="302"/>
      <c r="G23" s="298"/>
      <c r="H23" s="298"/>
      <c r="I23" s="298"/>
      <c r="J23" s="298"/>
      <c r="K23" s="298"/>
      <c r="L23" s="298"/>
      <c r="M23" s="298"/>
      <c r="N23" s="298"/>
    </row>
    <row r="24" spans="1:14" ht="15" thickBot="1" x14ac:dyDescent="0.3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5" thickBot="1" x14ac:dyDescent="0.35">
      <c r="A25" s="33" t="s">
        <v>35</v>
      </c>
      <c r="B25" s="34">
        <f>N22</f>
        <v>18161521.194428515</v>
      </c>
      <c r="N25" s="39"/>
    </row>
    <row r="26" spans="1:14" ht="15" thickBot="1" x14ac:dyDescent="0.35">
      <c r="A26" s="35" t="s">
        <v>23</v>
      </c>
      <c r="B26" s="36"/>
      <c r="N26" s="39"/>
    </row>
    <row r="27" spans="1:14" ht="15" thickBot="1" x14ac:dyDescent="0.35">
      <c r="A27" s="37" t="s">
        <v>16</v>
      </c>
      <c r="B27" s="38">
        <f>B25-B26</f>
        <v>18161521.194428515</v>
      </c>
    </row>
    <row r="28" spans="1:14" ht="15" thickTop="1" x14ac:dyDescent="0.3"/>
    <row r="29" spans="1:14" ht="15" thickBot="1" x14ac:dyDescent="0.35"/>
    <row r="30" spans="1:14" ht="15" thickBot="1" x14ac:dyDescent="0.35">
      <c r="A30" s="35" t="s">
        <v>25</v>
      </c>
      <c r="B30" s="36">
        <f>B14+B27</f>
        <v>1326302874.7624781</v>
      </c>
    </row>
  </sheetData>
  <mergeCells count="6">
    <mergeCell ref="A2:N2"/>
    <mergeCell ref="B10:F10"/>
    <mergeCell ref="G10:N10"/>
    <mergeCell ref="A16:N16"/>
    <mergeCell ref="B23:F23"/>
    <mergeCell ref="G23:N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workbookViewId="0">
      <selection activeCell="B10" sqref="B10:F10"/>
    </sheetView>
  </sheetViews>
  <sheetFormatPr defaultRowHeight="14.4" x14ac:dyDescent="0.3"/>
  <cols>
    <col min="1" max="1" width="48.21875" customWidth="1"/>
    <col min="2" max="2" width="17.77734375" bestFit="1" customWidth="1"/>
    <col min="3" max="3" width="15.44140625" bestFit="1" customWidth="1"/>
    <col min="4" max="4" width="17" bestFit="1" customWidth="1"/>
    <col min="5" max="5" width="16.21875" bestFit="1" customWidth="1"/>
    <col min="6" max="6" width="15.44140625" bestFit="1" customWidth="1"/>
    <col min="7" max="11" width="15.21875" bestFit="1" customWidth="1"/>
    <col min="12" max="13" width="15.44140625" bestFit="1" customWidth="1"/>
    <col min="14" max="14" width="17" bestFit="1" customWidth="1"/>
  </cols>
  <sheetData>
    <row r="1" spans="1:14" ht="15" thickBot="1" x14ac:dyDescent="0.35"/>
    <row r="2" spans="1:14" ht="15" thickBot="1" x14ac:dyDescent="0.35">
      <c r="A2" s="294" t="s">
        <v>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4" ht="15" thickBot="1" x14ac:dyDescent="0.35">
      <c r="A3" s="1" t="s">
        <v>1</v>
      </c>
      <c r="B3" s="40">
        <v>44770</v>
      </c>
      <c r="C3" s="40">
        <v>44802</v>
      </c>
      <c r="D3" s="40">
        <v>44834</v>
      </c>
      <c r="E3" s="40">
        <v>44865</v>
      </c>
      <c r="F3" s="40">
        <v>44866</v>
      </c>
      <c r="G3" s="40">
        <v>44897</v>
      </c>
      <c r="H3" s="24">
        <v>44927</v>
      </c>
      <c r="I3" s="24">
        <v>44958</v>
      </c>
      <c r="J3" s="24">
        <v>44621</v>
      </c>
      <c r="K3" s="24">
        <v>45017</v>
      </c>
      <c r="L3" s="24">
        <v>45047</v>
      </c>
      <c r="M3" s="25">
        <v>45078</v>
      </c>
      <c r="N3" s="26" t="s">
        <v>2</v>
      </c>
    </row>
    <row r="4" spans="1:14" ht="15" thickBot="1" x14ac:dyDescent="0.35">
      <c r="A4" s="2" t="s">
        <v>3</v>
      </c>
      <c r="B4" s="41">
        <v>208972051.05355</v>
      </c>
      <c r="C4" s="42">
        <v>197621378.10721999</v>
      </c>
      <c r="D4" s="43">
        <v>120364159.33206999</v>
      </c>
      <c r="E4" s="44">
        <v>124803220.42076001</v>
      </c>
      <c r="F4" s="10">
        <v>122701381.28286999</v>
      </c>
      <c r="G4" s="10">
        <f>118876850.542651-212446.36</f>
        <v>118664404.182651</v>
      </c>
      <c r="H4" s="10">
        <v>120601140.97750799</v>
      </c>
      <c r="I4" s="10">
        <v>117564342.16918901</v>
      </c>
      <c r="J4" s="10">
        <v>123339280.109422</v>
      </c>
      <c r="K4" s="10">
        <v>128323336.068004</v>
      </c>
      <c r="L4" s="10">
        <v>124821214.213223</v>
      </c>
      <c r="M4" s="10">
        <v>208219072.792833</v>
      </c>
      <c r="N4" s="27">
        <f>SUM(B4:M4)</f>
        <v>1715994980.7093</v>
      </c>
    </row>
    <row r="5" spans="1:14" ht="15" thickBot="1" x14ac:dyDescent="0.35">
      <c r="A5" s="3" t="s">
        <v>4</v>
      </c>
      <c r="B5" s="45">
        <v>28987242.355920002</v>
      </c>
      <c r="C5" s="28">
        <v>28858836.10647</v>
      </c>
      <c r="D5" s="10">
        <v>17753783.69438</v>
      </c>
      <c r="E5" s="28">
        <v>17277499.387869999</v>
      </c>
      <c r="F5" s="28">
        <v>18293422.064130399</v>
      </c>
      <c r="G5" s="28">
        <v>17490461.635173298</v>
      </c>
      <c r="H5" s="28">
        <v>16561149.1199893</v>
      </c>
      <c r="I5" s="28">
        <v>15185311.923921941</v>
      </c>
      <c r="J5" s="28">
        <v>17090664.986241098</v>
      </c>
      <c r="K5" s="28">
        <v>18754450.039662901</v>
      </c>
      <c r="L5" s="28">
        <v>17553677.819431473</v>
      </c>
      <c r="M5" s="29">
        <v>28001078.71229247</v>
      </c>
      <c r="N5" s="27">
        <f t="shared" ref="N5:N7" si="0">SUM(B5:M5)</f>
        <v>241807577.84548289</v>
      </c>
    </row>
    <row r="6" spans="1:14" ht="15" thickBot="1" x14ac:dyDescent="0.35">
      <c r="A6" s="3" t="s">
        <v>5</v>
      </c>
      <c r="B6" s="45">
        <v>2566907.8104900001</v>
      </c>
      <c r="C6" s="28">
        <v>1973491.0041</v>
      </c>
      <c r="D6" s="28">
        <v>1234800.95055</v>
      </c>
      <c r="E6" s="28">
        <v>1288011.9323999998</v>
      </c>
      <c r="F6" s="28">
        <v>1207069.7939775172</v>
      </c>
      <c r="G6" s="28">
        <v>1266051.2648102799</v>
      </c>
      <c r="H6" s="28">
        <v>1289705.4748319816</v>
      </c>
      <c r="I6" s="28">
        <v>1156682.9750481863</v>
      </c>
      <c r="J6" s="28">
        <f>1212227.05903909+6470.54</f>
        <v>1218697.5990390901</v>
      </c>
      <c r="K6" s="28">
        <v>1159784.9605437701</v>
      </c>
      <c r="L6" s="28">
        <v>1236336.0252138895</v>
      </c>
      <c r="M6" s="29">
        <v>1850529.2870090604</v>
      </c>
      <c r="N6" s="27">
        <f t="shared" si="0"/>
        <v>17448069.078013778</v>
      </c>
    </row>
    <row r="7" spans="1:14" ht="15" thickBot="1" x14ac:dyDescent="0.35">
      <c r="A7" s="3" t="s">
        <v>6</v>
      </c>
      <c r="B7" s="45">
        <v>180071.52217000001</v>
      </c>
      <c r="C7" s="28">
        <v>165071.52217000001</v>
      </c>
      <c r="D7" s="28">
        <v>177257.05085</v>
      </c>
      <c r="E7" s="28">
        <v>150071.52217000001</v>
      </c>
      <c r="F7" s="28">
        <v>134920.28268467999</v>
      </c>
      <c r="G7" s="28">
        <v>139351.97080206001</v>
      </c>
      <c r="H7" s="28">
        <v>139351.97080206001</v>
      </c>
      <c r="I7" s="28">
        <v>125892.76985298</v>
      </c>
      <c r="J7" s="28">
        <v>139351.97080206001</v>
      </c>
      <c r="K7" s="28">
        <v>134920.28268467999</v>
      </c>
      <c r="L7" s="28">
        <v>139351.97080206001</v>
      </c>
      <c r="M7" s="29">
        <v>135248.55587856</v>
      </c>
      <c r="N7" s="27">
        <f t="shared" si="0"/>
        <v>1760861.3916691404</v>
      </c>
    </row>
    <row r="8" spans="1:14" ht="15" thickBot="1" x14ac:dyDescent="0.35">
      <c r="A8" s="4" t="s">
        <v>17</v>
      </c>
      <c r="B8" s="46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27">
        <v>0</v>
      </c>
    </row>
    <row r="9" spans="1:14" ht="15" thickBot="1" x14ac:dyDescent="0.35">
      <c r="A9" s="1" t="s">
        <v>7</v>
      </c>
      <c r="B9" s="31">
        <f>SUM(B4:B8)</f>
        <v>240706272.74213004</v>
      </c>
      <c r="C9" s="31">
        <f t="shared" ref="C9:M9" si="1">SUM(C4:C8)</f>
        <v>228618776.73995999</v>
      </c>
      <c r="D9" s="31">
        <f t="shared" si="1"/>
        <v>139530001.02784997</v>
      </c>
      <c r="E9" s="31">
        <f t="shared" si="1"/>
        <v>143518803.26319999</v>
      </c>
      <c r="F9" s="31">
        <f t="shared" si="1"/>
        <v>142336793.4236626</v>
      </c>
      <c r="G9" s="31">
        <f t="shared" si="1"/>
        <v>137560269.05343667</v>
      </c>
      <c r="H9" s="31">
        <f t="shared" si="1"/>
        <v>138591347.54313132</v>
      </c>
      <c r="I9" s="31">
        <f t="shared" si="1"/>
        <v>134032229.83801211</v>
      </c>
      <c r="J9" s="31">
        <f t="shared" si="1"/>
        <v>141787994.66550425</v>
      </c>
      <c r="K9" s="31">
        <f t="shared" si="1"/>
        <v>148372491.35089538</v>
      </c>
      <c r="L9" s="31">
        <f t="shared" si="1"/>
        <v>143750580.02867043</v>
      </c>
      <c r="M9" s="31">
        <f t="shared" si="1"/>
        <v>238205929.34801307</v>
      </c>
      <c r="N9" s="27">
        <f>+N7+N6+N5+N4+N8</f>
        <v>1977011489.0244658</v>
      </c>
    </row>
    <row r="10" spans="1:14" x14ac:dyDescent="0.3">
      <c r="B10" s="302" t="s">
        <v>13</v>
      </c>
      <c r="C10" s="302"/>
      <c r="D10" s="302"/>
      <c r="E10" s="302"/>
      <c r="F10" s="302"/>
      <c r="G10" s="298"/>
      <c r="H10" s="298"/>
      <c r="I10" s="298"/>
      <c r="J10" s="298"/>
      <c r="K10" s="298"/>
      <c r="L10" s="298"/>
      <c r="M10" s="298"/>
      <c r="N10" s="298"/>
    </row>
    <row r="11" spans="1:14" ht="15" thickBot="1" x14ac:dyDescent="0.3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14" ht="15" thickBot="1" x14ac:dyDescent="0.35">
      <c r="A12" s="33" t="s">
        <v>37</v>
      </c>
      <c r="B12" s="34">
        <f>N9</f>
        <v>1977011489.0244658</v>
      </c>
      <c r="D12" s="80"/>
      <c r="E12" s="95"/>
      <c r="G12" s="32"/>
      <c r="H12" s="32"/>
      <c r="I12" s="32"/>
      <c r="J12" s="32"/>
      <c r="K12" s="32"/>
      <c r="L12" s="32"/>
      <c r="M12" s="32"/>
      <c r="N12" s="48"/>
    </row>
    <row r="13" spans="1:14" ht="15" thickBot="1" x14ac:dyDescent="0.35">
      <c r="A13" s="35" t="s">
        <v>26</v>
      </c>
      <c r="B13" s="36"/>
      <c r="E13" s="95"/>
      <c r="G13" s="32"/>
      <c r="H13" s="32"/>
      <c r="I13" s="32"/>
      <c r="J13" s="32"/>
      <c r="K13" s="32"/>
      <c r="L13" s="32"/>
      <c r="M13" s="32"/>
      <c r="N13" s="32"/>
    </row>
    <row r="14" spans="1:14" ht="15" thickBot="1" x14ac:dyDescent="0.35">
      <c r="A14" s="37" t="s">
        <v>16</v>
      </c>
      <c r="B14" s="38">
        <f>B12-B13</f>
        <v>1977011489.0244658</v>
      </c>
      <c r="G14" s="32"/>
      <c r="H14" s="32"/>
      <c r="I14" s="32"/>
      <c r="J14" s="32"/>
      <c r="K14" s="32"/>
      <c r="L14" s="32"/>
      <c r="M14" s="32"/>
      <c r="N14" s="32"/>
    </row>
    <row r="15" spans="1:14" ht="15.6" thickTop="1" thickBot="1" x14ac:dyDescent="0.35"/>
    <row r="16" spans="1:14" ht="15" thickBot="1" x14ac:dyDescent="0.35">
      <c r="A16" s="294" t="s">
        <v>27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</row>
    <row r="17" spans="1:14" ht="15" thickBot="1" x14ac:dyDescent="0.35">
      <c r="A17" s="1" t="s">
        <v>1</v>
      </c>
      <c r="B17" s="40">
        <f>+B3</f>
        <v>44770</v>
      </c>
      <c r="C17" s="24">
        <f t="shared" ref="C17:M17" si="2">+C3</f>
        <v>44802</v>
      </c>
      <c r="D17" s="24">
        <f t="shared" si="2"/>
        <v>44834</v>
      </c>
      <c r="E17" s="24">
        <f t="shared" si="2"/>
        <v>44865</v>
      </c>
      <c r="F17" s="24">
        <f t="shared" si="2"/>
        <v>44866</v>
      </c>
      <c r="G17" s="24">
        <f t="shared" si="2"/>
        <v>44897</v>
      </c>
      <c r="H17" s="24">
        <f t="shared" si="2"/>
        <v>44927</v>
      </c>
      <c r="I17" s="24">
        <f t="shared" si="2"/>
        <v>44958</v>
      </c>
      <c r="J17" s="24">
        <f t="shared" si="2"/>
        <v>44621</v>
      </c>
      <c r="K17" s="24">
        <f t="shared" si="2"/>
        <v>45017</v>
      </c>
      <c r="L17" s="24">
        <f t="shared" si="2"/>
        <v>45047</v>
      </c>
      <c r="M17" s="25">
        <f t="shared" si="2"/>
        <v>45078</v>
      </c>
      <c r="N17" s="26" t="s">
        <v>2</v>
      </c>
    </row>
    <row r="18" spans="1:14" ht="15" thickBot="1" x14ac:dyDescent="0.35">
      <c r="A18" s="2" t="s">
        <v>9</v>
      </c>
      <c r="B18" s="41">
        <v>361358.19188</v>
      </c>
      <c r="C18" s="10">
        <v>352195.05884000001</v>
      </c>
      <c r="D18" s="10">
        <v>299776.16527</v>
      </c>
      <c r="E18" s="10">
        <v>277397.59362</v>
      </c>
      <c r="F18" s="10">
        <v>253942.70422000001</v>
      </c>
      <c r="G18" s="10">
        <v>243388.44103389999</v>
      </c>
      <c r="H18" s="10">
        <v>259331.10946470001</v>
      </c>
      <c r="I18" s="10">
        <v>233634.67619309999</v>
      </c>
      <c r="J18" s="10">
        <v>263050.33006980002</v>
      </c>
      <c r="K18" s="10">
        <v>259669.22042880001</v>
      </c>
      <c r="L18" s="10">
        <v>281984.54405939998</v>
      </c>
      <c r="M18" s="10">
        <v>348254.29302300001</v>
      </c>
      <c r="N18" s="27">
        <f t="shared" ref="N18:N21" si="3">SUM(B18:M18)</f>
        <v>3433982.3281027004</v>
      </c>
    </row>
    <row r="19" spans="1:14" ht="15" thickBot="1" x14ac:dyDescent="0.35">
      <c r="A19" s="3" t="s">
        <v>10</v>
      </c>
      <c r="B19" s="45">
        <v>1893343.0069800001</v>
      </c>
      <c r="C19" s="10">
        <v>1526076.8177499999</v>
      </c>
      <c r="D19" s="10">
        <v>1019116.45783</v>
      </c>
      <c r="E19" s="10">
        <v>1013215.27883</v>
      </c>
      <c r="F19" s="10">
        <v>1039476.59129</v>
      </c>
      <c r="G19" s="10">
        <v>1035350.17108624</v>
      </c>
      <c r="H19" s="10">
        <v>1099958.3461691199</v>
      </c>
      <c r="I19" s="10">
        <v>1014465.57849069</v>
      </c>
      <c r="J19" s="10">
        <v>1092879.3458946899</v>
      </c>
      <c r="K19" s="10">
        <v>1097431.9207938099</v>
      </c>
      <c r="L19" s="10">
        <v>1221028.4325237332</v>
      </c>
      <c r="M19" s="10">
        <v>1882594.1198581918</v>
      </c>
      <c r="N19" s="27">
        <f t="shared" si="3"/>
        <v>14934936.067496475</v>
      </c>
    </row>
    <row r="20" spans="1:14" ht="15" thickBot="1" x14ac:dyDescent="0.35">
      <c r="A20" s="3" t="s">
        <v>11</v>
      </c>
      <c r="B20" s="45">
        <v>739324.91403999995</v>
      </c>
      <c r="C20" s="10">
        <v>705800.89880000008</v>
      </c>
      <c r="D20" s="10">
        <v>402995.79467000003</v>
      </c>
      <c r="E20" s="10">
        <v>376355.64147999999</v>
      </c>
      <c r="F20" s="10">
        <v>313063.005</v>
      </c>
      <c r="G20" s="10">
        <v>333690.00843168003</v>
      </c>
      <c r="H20" s="10">
        <v>344884.08219695999</v>
      </c>
      <c r="I20" s="10">
        <v>337421.36635343998</v>
      </c>
      <c r="J20" s="10">
        <v>368338.33199087996</v>
      </c>
      <c r="K20" s="10">
        <v>370470.53651760001</v>
      </c>
      <c r="L20" s="10">
        <v>426973.95647568005</v>
      </c>
      <c r="M20" s="10">
        <v>688686.07059660961</v>
      </c>
      <c r="N20" s="27">
        <f t="shared" si="3"/>
        <v>5408004.6065528486</v>
      </c>
    </row>
    <row r="21" spans="1:14" ht="15" thickBot="1" x14ac:dyDescent="0.35">
      <c r="A21" s="3" t="s">
        <v>12</v>
      </c>
      <c r="B21" s="45">
        <v>172539.75044</v>
      </c>
      <c r="C21" s="10">
        <v>162976.46774000002</v>
      </c>
      <c r="D21" s="10">
        <v>104617.73146000001</v>
      </c>
      <c r="E21" s="10">
        <v>101066.32216</v>
      </c>
      <c r="F21" s="10">
        <v>95547.990120000002</v>
      </c>
      <c r="G21" s="10">
        <v>92657.266183800006</v>
      </c>
      <c r="H21" s="10">
        <v>106679.5824312</v>
      </c>
      <c r="I21" s="10">
        <v>110528.8457148</v>
      </c>
      <c r="J21" s="10">
        <v>98706.108486600002</v>
      </c>
      <c r="K21" s="10">
        <v>107504.42456340001</v>
      </c>
      <c r="L21" s="10">
        <v>101593.05594929999</v>
      </c>
      <c r="M21" s="10">
        <v>110116.42464870001</v>
      </c>
      <c r="N21" s="27">
        <f t="shared" si="3"/>
        <v>1364533.9698978001</v>
      </c>
    </row>
    <row r="22" spans="1:14" ht="15" thickBot="1" x14ac:dyDescent="0.35">
      <c r="A22" s="1" t="s">
        <v>7</v>
      </c>
      <c r="B22" s="31">
        <f>SUM(B18:B21)</f>
        <v>3166565.8633400002</v>
      </c>
      <c r="C22" s="31">
        <f t="shared" ref="C22:M22" si="4">SUM(C18:C21)</f>
        <v>2747049.2431300003</v>
      </c>
      <c r="D22" s="31">
        <f t="shared" si="4"/>
        <v>1826506.1492299999</v>
      </c>
      <c r="E22" s="31">
        <f t="shared" si="4"/>
        <v>1768034.8360899999</v>
      </c>
      <c r="F22" s="31">
        <f t="shared" si="4"/>
        <v>1702030.2906299999</v>
      </c>
      <c r="G22" s="31">
        <f t="shared" si="4"/>
        <v>1705085.88673562</v>
      </c>
      <c r="H22" s="31">
        <f t="shared" si="4"/>
        <v>1810853.12026198</v>
      </c>
      <c r="I22" s="31">
        <f t="shared" si="4"/>
        <v>1696050.46675203</v>
      </c>
      <c r="J22" s="31">
        <f t="shared" si="4"/>
        <v>1822974.11644197</v>
      </c>
      <c r="K22" s="31">
        <f t="shared" si="4"/>
        <v>1835076.10230361</v>
      </c>
      <c r="L22" s="31">
        <f t="shared" si="4"/>
        <v>2031579.9890081133</v>
      </c>
      <c r="M22" s="31">
        <f t="shared" si="4"/>
        <v>3029650.9081265014</v>
      </c>
      <c r="N22" s="27">
        <f>+N21+N20+N19+N18</f>
        <v>25141456.972049825</v>
      </c>
    </row>
    <row r="23" spans="1:14" x14ac:dyDescent="0.3">
      <c r="B23" s="302" t="s">
        <v>13</v>
      </c>
      <c r="C23" s="302"/>
      <c r="D23" s="302"/>
      <c r="E23" s="302"/>
      <c r="F23" s="302"/>
      <c r="G23" s="298"/>
      <c r="H23" s="298"/>
      <c r="I23" s="298"/>
      <c r="J23" s="298"/>
      <c r="K23" s="298"/>
      <c r="L23" s="298"/>
      <c r="M23" s="298"/>
      <c r="N23" s="298"/>
    </row>
    <row r="24" spans="1:14" ht="15" thickBot="1" x14ac:dyDescent="0.3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5" thickBot="1" x14ac:dyDescent="0.35">
      <c r="A25" s="33" t="s">
        <v>37</v>
      </c>
      <c r="B25" s="34">
        <f>N22</f>
        <v>25141456.972049825</v>
      </c>
      <c r="N25" s="39"/>
    </row>
    <row r="26" spans="1:14" ht="15" thickBot="1" x14ac:dyDescent="0.35">
      <c r="A26" s="35" t="s">
        <v>26</v>
      </c>
      <c r="B26" s="36"/>
      <c r="N26" s="39"/>
    </row>
    <row r="27" spans="1:14" ht="15" thickBot="1" x14ac:dyDescent="0.35">
      <c r="A27" s="37" t="s">
        <v>16</v>
      </c>
      <c r="B27" s="38">
        <f>B25-B26</f>
        <v>25141456.972049825</v>
      </c>
    </row>
    <row r="28" spans="1:14" ht="15" thickTop="1" x14ac:dyDescent="0.3"/>
    <row r="29" spans="1:14" ht="15" thickBot="1" x14ac:dyDescent="0.35"/>
    <row r="30" spans="1:14" ht="15" thickBot="1" x14ac:dyDescent="0.35">
      <c r="A30" s="35" t="s">
        <v>25</v>
      </c>
      <c r="B30" s="36">
        <f>B14+B27</f>
        <v>2002152945.9965155</v>
      </c>
    </row>
    <row r="32" spans="1:14" x14ac:dyDescent="0.3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2:13" x14ac:dyDescent="0.3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2:13" x14ac:dyDescent="0.3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x14ac:dyDescent="0.3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</sheetData>
  <mergeCells count="6">
    <mergeCell ref="A2:N2"/>
    <mergeCell ref="B10:F10"/>
    <mergeCell ref="G10:N10"/>
    <mergeCell ref="A16:N16"/>
    <mergeCell ref="B23:F23"/>
    <mergeCell ref="G23:N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3"/>
  <sheetViews>
    <sheetView zoomScale="120" zoomScaleNormal="120" workbookViewId="0">
      <selection activeCell="M6" sqref="B6:M6"/>
    </sheetView>
  </sheetViews>
  <sheetFormatPr defaultRowHeight="14.4" x14ac:dyDescent="0.3"/>
  <cols>
    <col min="1" max="1" width="48.21875" customWidth="1"/>
    <col min="2" max="2" width="17.77734375" bestFit="1" customWidth="1"/>
    <col min="3" max="3" width="16.21875" bestFit="1" customWidth="1"/>
    <col min="4" max="4" width="17" bestFit="1" customWidth="1"/>
    <col min="5" max="13" width="16.21875" bestFit="1" customWidth="1"/>
    <col min="14" max="14" width="17.77734375" bestFit="1" customWidth="1"/>
  </cols>
  <sheetData>
    <row r="1" spans="1:15" ht="15" thickBot="1" x14ac:dyDescent="0.35"/>
    <row r="2" spans="1:15" ht="15" thickBot="1" x14ac:dyDescent="0.35">
      <c r="A2" s="294" t="s">
        <v>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1:15" ht="15" thickBot="1" x14ac:dyDescent="0.35">
      <c r="A3" s="1" t="s">
        <v>1</v>
      </c>
      <c r="B3" s="40">
        <v>44770</v>
      </c>
      <c r="C3" s="24">
        <v>44774</v>
      </c>
      <c r="D3" s="24">
        <v>44805</v>
      </c>
      <c r="E3" s="24">
        <v>44835</v>
      </c>
      <c r="F3" s="24">
        <v>44866</v>
      </c>
      <c r="G3" s="24">
        <v>44896</v>
      </c>
      <c r="H3" s="24">
        <v>44927</v>
      </c>
      <c r="I3" s="24">
        <v>44958</v>
      </c>
      <c r="J3" s="24">
        <v>44986</v>
      </c>
      <c r="K3" s="24">
        <v>45017</v>
      </c>
      <c r="L3" s="24">
        <v>45047</v>
      </c>
      <c r="M3" s="25">
        <v>45078</v>
      </c>
      <c r="N3" s="26" t="s">
        <v>2</v>
      </c>
    </row>
    <row r="4" spans="1:15" ht="15" thickBot="1" x14ac:dyDescent="0.35">
      <c r="A4" s="2" t="s">
        <v>3</v>
      </c>
      <c r="B4" s="153">
        <v>235681175.28999999</v>
      </c>
      <c r="C4" s="156">
        <v>181005407.11000001</v>
      </c>
      <c r="D4" s="159">
        <v>120023709.54000001</v>
      </c>
      <c r="E4" s="161">
        <v>120111620.78</v>
      </c>
      <c r="F4" s="160">
        <v>118568754.98999999</v>
      </c>
      <c r="G4" s="160">
        <v>109712490.7</v>
      </c>
      <c r="H4" s="160">
        <v>119865906.34</v>
      </c>
      <c r="I4" s="160">
        <v>112238319.48</v>
      </c>
      <c r="J4" s="160">
        <v>122813349.93000001</v>
      </c>
      <c r="K4" s="160">
        <v>117572062.88</v>
      </c>
      <c r="L4" s="160">
        <v>274666188.64999998</v>
      </c>
      <c r="M4" s="160">
        <v>260567700.24000001</v>
      </c>
      <c r="N4" s="163">
        <f>SUM(B4:M4)</f>
        <v>1892826685.9300001</v>
      </c>
    </row>
    <row r="5" spans="1:15" ht="15" thickBot="1" x14ac:dyDescent="0.35">
      <c r="A5" s="3" t="s">
        <v>4</v>
      </c>
      <c r="B5" s="153">
        <v>30604818.07</v>
      </c>
      <c r="C5" s="157">
        <v>24414812.719999999</v>
      </c>
      <c r="D5" s="160">
        <v>17411055.780000001</v>
      </c>
      <c r="E5" s="157">
        <v>17618615.640000001</v>
      </c>
      <c r="F5" s="157">
        <v>17173310.559999999</v>
      </c>
      <c r="G5" s="157">
        <v>16610246.67</v>
      </c>
      <c r="H5" s="157">
        <v>17282716.800000001</v>
      </c>
      <c r="I5" s="157">
        <v>16263853.439999999</v>
      </c>
      <c r="J5" s="157">
        <v>18027266.600000001</v>
      </c>
      <c r="K5" s="157">
        <v>16855917.859999999</v>
      </c>
      <c r="L5" s="157">
        <v>24561691.23</v>
      </c>
      <c r="M5" s="162">
        <v>30970724.600000001</v>
      </c>
      <c r="N5" s="163">
        <f t="shared" ref="N5:N9" si="0">SUM(B5:M5)</f>
        <v>247795029.96999997</v>
      </c>
    </row>
    <row r="6" spans="1:15" ht="15" thickBot="1" x14ac:dyDescent="0.35">
      <c r="A6" s="3" t="s">
        <v>5</v>
      </c>
      <c r="B6" s="153">
        <v>174822.25</v>
      </c>
      <c r="C6" s="157">
        <v>174822.25</v>
      </c>
      <c r="D6" s="157">
        <v>169213.75</v>
      </c>
      <c r="E6" s="157">
        <v>186978.65</v>
      </c>
      <c r="F6" s="157">
        <v>178899</v>
      </c>
      <c r="G6" s="157">
        <v>184681.88</v>
      </c>
      <c r="H6" s="157">
        <v>184621.72</v>
      </c>
      <c r="I6" s="157">
        <v>168857.01</v>
      </c>
      <c r="J6" s="157">
        <v>188652.27</v>
      </c>
      <c r="K6" s="157">
        <v>184346.12</v>
      </c>
      <c r="L6" s="157">
        <v>192309.12</v>
      </c>
      <c r="M6" s="162">
        <v>198240.05</v>
      </c>
      <c r="N6" s="163">
        <f t="shared" si="0"/>
        <v>2186444.0699999998</v>
      </c>
    </row>
    <row r="7" spans="1:15" x14ac:dyDescent="0.3">
      <c r="A7" s="3" t="s">
        <v>6</v>
      </c>
      <c r="B7" s="153">
        <v>2024387.74</v>
      </c>
      <c r="C7" s="157">
        <v>1699672.37</v>
      </c>
      <c r="D7" s="157">
        <v>1292769.57</v>
      </c>
      <c r="E7" s="157">
        <v>1367633.36</v>
      </c>
      <c r="F7" s="157">
        <v>1323999.3899999999</v>
      </c>
      <c r="G7" s="157">
        <v>1337845.1200000001</v>
      </c>
      <c r="H7" s="157">
        <v>1370942.86</v>
      </c>
      <c r="I7" s="157">
        <v>1197886.95</v>
      </c>
      <c r="J7" s="157">
        <v>1325097.45</v>
      </c>
      <c r="K7" s="157">
        <v>1203221.95</v>
      </c>
      <c r="L7" s="157">
        <v>1614363.65</v>
      </c>
      <c r="M7" s="162">
        <v>1701108.08</v>
      </c>
      <c r="N7" s="168">
        <f t="shared" si="0"/>
        <v>17458928.489999998</v>
      </c>
    </row>
    <row r="8" spans="1:15" x14ac:dyDescent="0.3">
      <c r="A8" s="167" t="s">
        <v>63</v>
      </c>
      <c r="B8" s="154">
        <v>367664.46</v>
      </c>
      <c r="C8" s="158">
        <v>367664.46</v>
      </c>
      <c r="D8" s="158">
        <v>355804.32</v>
      </c>
      <c r="E8" s="158">
        <v>367664.46</v>
      </c>
      <c r="F8" s="158">
        <v>355804.32</v>
      </c>
      <c r="G8" s="158">
        <v>367664.46</v>
      </c>
      <c r="H8" s="158">
        <v>367664.46</v>
      </c>
      <c r="I8" s="158">
        <v>332084.03000000003</v>
      </c>
      <c r="J8" s="158">
        <v>367664.46</v>
      </c>
      <c r="K8" s="158">
        <v>355804.32</v>
      </c>
      <c r="L8" s="158">
        <v>367664.46</v>
      </c>
      <c r="M8" s="174">
        <v>360909.68</v>
      </c>
      <c r="N8" s="172">
        <f t="shared" si="0"/>
        <v>4334057.8899999997</v>
      </c>
    </row>
    <row r="9" spans="1:15" s="173" customFormat="1" x14ac:dyDescent="0.3">
      <c r="A9" s="171" t="s">
        <v>167</v>
      </c>
      <c r="B9" s="157">
        <v>5325.02</v>
      </c>
      <c r="C9" s="157">
        <v>5558.01</v>
      </c>
      <c r="D9" s="157">
        <v>5558.01</v>
      </c>
      <c r="E9" s="157">
        <v>5378.02</v>
      </c>
      <c r="F9" s="157">
        <v>6036.51</v>
      </c>
      <c r="G9" s="157">
        <v>5378.02</v>
      </c>
      <c r="H9" s="157">
        <v>5558.01</v>
      </c>
      <c r="I9" s="157">
        <v>5558.01</v>
      </c>
      <c r="J9" s="157">
        <v>5020.45</v>
      </c>
      <c r="K9" s="157">
        <v>5558.01</v>
      </c>
      <c r="L9" s="157">
        <v>5378.02</v>
      </c>
      <c r="M9" s="175">
        <v>6459.11</v>
      </c>
      <c r="N9" s="172">
        <f t="shared" si="0"/>
        <v>66765.2</v>
      </c>
      <c r="O9" s="176"/>
    </row>
    <row r="10" spans="1:15" ht="15" thickBot="1" x14ac:dyDescent="0.35">
      <c r="A10" s="169" t="s">
        <v>7</v>
      </c>
      <c r="B10" s="170">
        <f>SUM(B4:B8)</f>
        <v>268852867.80999994</v>
      </c>
      <c r="C10" s="170">
        <f t="shared" ref="C10:M10" si="1">SUM(C4:C8)</f>
        <v>207662378.91000003</v>
      </c>
      <c r="D10" s="170">
        <f t="shared" si="1"/>
        <v>139252552.95999998</v>
      </c>
      <c r="E10" s="170">
        <f t="shared" si="1"/>
        <v>139652512.89000005</v>
      </c>
      <c r="F10" s="170">
        <f t="shared" si="1"/>
        <v>137600768.25999996</v>
      </c>
      <c r="G10" s="170">
        <f t="shared" si="1"/>
        <v>128212928.83</v>
      </c>
      <c r="H10" s="170">
        <f t="shared" si="1"/>
        <v>139071852.18000004</v>
      </c>
      <c r="I10" s="170">
        <f t="shared" si="1"/>
        <v>130201000.91000001</v>
      </c>
      <c r="J10" s="170">
        <f t="shared" si="1"/>
        <v>142722030.71000001</v>
      </c>
      <c r="K10" s="170">
        <f t="shared" si="1"/>
        <v>136171353.13</v>
      </c>
      <c r="L10" s="170">
        <f t="shared" si="1"/>
        <v>301402217.10999995</v>
      </c>
      <c r="M10" s="170">
        <f t="shared" si="1"/>
        <v>293798682.65000004</v>
      </c>
      <c r="N10" s="23">
        <f>+N7+N6+N5+N4+N8</f>
        <v>2164601146.3499999</v>
      </c>
    </row>
    <row r="11" spans="1:15" ht="17.399999999999999" x14ac:dyDescent="0.3">
      <c r="B11" s="145" t="s">
        <v>13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5" ht="15" thickBot="1" x14ac:dyDescent="0.35">
      <c r="N12" s="39"/>
    </row>
    <row r="13" spans="1:15" ht="15" thickBot="1" x14ac:dyDescent="0.35">
      <c r="A13" s="33" t="s">
        <v>38</v>
      </c>
      <c r="B13" s="34">
        <f>N10</f>
        <v>2164601146.3499999</v>
      </c>
      <c r="G13" s="32"/>
      <c r="H13" s="32"/>
      <c r="I13" s="32"/>
      <c r="J13" s="32"/>
      <c r="K13" s="32"/>
      <c r="L13" s="32"/>
      <c r="M13" s="32"/>
      <c r="N13" s="32"/>
    </row>
    <row r="14" spans="1:15" ht="15" thickBot="1" x14ac:dyDescent="0.35">
      <c r="A14" s="35" t="s">
        <v>32</v>
      </c>
      <c r="B14" s="36"/>
      <c r="G14" s="32"/>
      <c r="H14" s="32"/>
      <c r="I14" s="32"/>
      <c r="J14" s="32"/>
      <c r="K14" s="32"/>
      <c r="L14" s="32"/>
      <c r="M14" s="32"/>
      <c r="N14" s="32"/>
    </row>
    <row r="15" spans="1:15" ht="15" thickBot="1" x14ac:dyDescent="0.35">
      <c r="A15" s="37" t="s">
        <v>16</v>
      </c>
      <c r="B15" s="38">
        <f>B13-B14</f>
        <v>2164601146.3499999</v>
      </c>
      <c r="G15" s="32"/>
      <c r="H15" s="32"/>
      <c r="I15" s="32"/>
      <c r="J15" s="32"/>
      <c r="K15" s="32"/>
      <c r="L15" s="32"/>
      <c r="M15" s="32"/>
      <c r="N15" s="32"/>
    </row>
    <row r="16" spans="1:15" ht="15.6" thickTop="1" thickBot="1" x14ac:dyDescent="0.35"/>
    <row r="17" spans="1:14" ht="15" thickBot="1" x14ac:dyDescent="0.35">
      <c r="A17" s="294" t="s">
        <v>33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15" thickBot="1" x14ac:dyDescent="0.35">
      <c r="A18" s="1" t="s">
        <v>1</v>
      </c>
      <c r="B18" s="40">
        <f>+B3</f>
        <v>44770</v>
      </c>
      <c r="C18" s="24">
        <f t="shared" ref="C18:M18" si="2">+C3</f>
        <v>44774</v>
      </c>
      <c r="D18" s="24">
        <f t="shared" si="2"/>
        <v>44805</v>
      </c>
      <c r="E18" s="24">
        <f t="shared" si="2"/>
        <v>44835</v>
      </c>
      <c r="F18" s="24">
        <f t="shared" si="2"/>
        <v>44866</v>
      </c>
      <c r="G18" s="24">
        <f t="shared" si="2"/>
        <v>44896</v>
      </c>
      <c r="H18" s="24">
        <f t="shared" si="2"/>
        <v>44927</v>
      </c>
      <c r="I18" s="24">
        <f t="shared" si="2"/>
        <v>44958</v>
      </c>
      <c r="J18" s="24">
        <f t="shared" si="2"/>
        <v>44986</v>
      </c>
      <c r="K18" s="24">
        <f t="shared" si="2"/>
        <v>45017</v>
      </c>
      <c r="L18" s="24">
        <f t="shared" si="2"/>
        <v>45047</v>
      </c>
      <c r="M18" s="25">
        <f t="shared" si="2"/>
        <v>45078</v>
      </c>
      <c r="N18" s="26" t="s">
        <v>2</v>
      </c>
    </row>
    <row r="19" spans="1:14" ht="15" thickBot="1" x14ac:dyDescent="0.35">
      <c r="A19" s="2" t="s">
        <v>9</v>
      </c>
      <c r="B19" s="153">
        <v>479568.92</v>
      </c>
      <c r="C19" s="160">
        <v>402375.18</v>
      </c>
      <c r="D19" s="160">
        <v>315232.21000000002</v>
      </c>
      <c r="E19" s="160">
        <v>322014.64</v>
      </c>
      <c r="F19" s="160">
        <v>303310.43</v>
      </c>
      <c r="G19" s="160">
        <v>320377.34999999998</v>
      </c>
      <c r="H19" s="160">
        <v>312570.65000000002</v>
      </c>
      <c r="I19" s="160">
        <v>294309.82</v>
      </c>
      <c r="J19" s="160">
        <v>335307.18</v>
      </c>
      <c r="K19" s="160">
        <v>344778.29</v>
      </c>
      <c r="L19" s="160">
        <v>432983.97</v>
      </c>
      <c r="M19" s="160">
        <v>491744.23</v>
      </c>
      <c r="N19" s="163">
        <f t="shared" ref="N19:N22" si="3">SUM(B19:M19)</f>
        <v>4354572.8699999992</v>
      </c>
    </row>
    <row r="20" spans="1:14" ht="15" thickBot="1" x14ac:dyDescent="0.35">
      <c r="A20" s="3" t="s">
        <v>10</v>
      </c>
      <c r="B20" s="153">
        <v>2309624.84</v>
      </c>
      <c r="C20" s="160">
        <v>1806513.44</v>
      </c>
      <c r="D20" s="160">
        <v>1181240.83</v>
      </c>
      <c r="E20" s="160">
        <v>1139273.93</v>
      </c>
      <c r="F20" s="160">
        <v>1067844.3899999999</v>
      </c>
      <c r="G20" s="160">
        <v>1099126.3899999999</v>
      </c>
      <c r="H20" s="160">
        <v>1087559.46</v>
      </c>
      <c r="I20" s="160">
        <v>1018157.39</v>
      </c>
      <c r="J20" s="160">
        <v>1145003.44</v>
      </c>
      <c r="K20" s="160">
        <v>1211714.75</v>
      </c>
      <c r="L20" s="160">
        <v>1801431.71</v>
      </c>
      <c r="M20" s="160">
        <v>1871990.03</v>
      </c>
      <c r="N20" s="163">
        <f t="shared" si="3"/>
        <v>16739480.599999996</v>
      </c>
    </row>
    <row r="21" spans="1:14" ht="15" thickBot="1" x14ac:dyDescent="0.35">
      <c r="A21" s="3" t="s">
        <v>11</v>
      </c>
      <c r="B21" s="153">
        <v>746554.87</v>
      </c>
      <c r="C21" s="160">
        <v>55660.49</v>
      </c>
      <c r="D21" s="160">
        <v>378209.18</v>
      </c>
      <c r="E21" s="160">
        <v>367856.03</v>
      </c>
      <c r="F21" s="160">
        <v>363672.71</v>
      </c>
      <c r="G21" s="160">
        <v>376025.65</v>
      </c>
      <c r="H21" s="160">
        <v>385650.5</v>
      </c>
      <c r="I21" s="160">
        <v>343665.27</v>
      </c>
      <c r="J21" s="160">
        <v>390565.64</v>
      </c>
      <c r="K21" s="160">
        <v>400085.86</v>
      </c>
      <c r="L21" s="160">
        <v>589151.01</v>
      </c>
      <c r="M21" s="160">
        <v>629495.80000000005</v>
      </c>
      <c r="N21" s="163">
        <f t="shared" si="3"/>
        <v>5026593.01</v>
      </c>
    </row>
    <row r="22" spans="1:14" ht="15" thickBot="1" x14ac:dyDescent="0.35">
      <c r="A22" s="3" t="s">
        <v>12</v>
      </c>
      <c r="B22" s="153">
        <v>200885.71</v>
      </c>
      <c r="C22" s="160">
        <v>160001.72</v>
      </c>
      <c r="D22" s="160">
        <v>123004.43</v>
      </c>
      <c r="E22" s="160">
        <v>120148.05</v>
      </c>
      <c r="F22" s="160">
        <v>118978.53</v>
      </c>
      <c r="G22" s="160">
        <v>138663.49</v>
      </c>
      <c r="H22" s="160">
        <v>125906.76</v>
      </c>
      <c r="I22" s="160">
        <v>116840.05</v>
      </c>
      <c r="J22" s="160">
        <v>132329.51999999999</v>
      </c>
      <c r="K22" s="160">
        <v>130717.9</v>
      </c>
      <c r="L22" s="160">
        <v>162216.93</v>
      </c>
      <c r="M22" s="160">
        <v>113345.57</v>
      </c>
      <c r="N22" s="163">
        <f t="shared" si="3"/>
        <v>1643038.66</v>
      </c>
    </row>
    <row r="23" spans="1:14" ht="15" thickBot="1" x14ac:dyDescent="0.35">
      <c r="A23" s="1" t="s">
        <v>7</v>
      </c>
      <c r="B23" s="155">
        <f>SUM(B19:B22)</f>
        <v>3736634.34</v>
      </c>
      <c r="C23" s="155">
        <f t="shared" ref="C23:M23" si="4">SUM(C19:C22)</f>
        <v>2424550.8300000005</v>
      </c>
      <c r="D23" s="155">
        <f t="shared" si="4"/>
        <v>1997686.65</v>
      </c>
      <c r="E23" s="155">
        <f t="shared" si="4"/>
        <v>1949292.65</v>
      </c>
      <c r="F23" s="155">
        <f t="shared" si="4"/>
        <v>1853806.0599999998</v>
      </c>
      <c r="G23" s="155">
        <f t="shared" si="4"/>
        <v>1934192.8799999997</v>
      </c>
      <c r="H23" s="155">
        <f t="shared" si="4"/>
        <v>1911687.3699999999</v>
      </c>
      <c r="I23" s="155">
        <f t="shared" si="4"/>
        <v>1772972.53</v>
      </c>
      <c r="J23" s="155">
        <f t="shared" si="4"/>
        <v>2003205.7799999998</v>
      </c>
      <c r="K23" s="155">
        <f t="shared" si="4"/>
        <v>2087296.7999999998</v>
      </c>
      <c r="L23" s="155">
        <f t="shared" si="4"/>
        <v>2985783.6199999996</v>
      </c>
      <c r="M23" s="155">
        <f t="shared" si="4"/>
        <v>3106575.6299999994</v>
      </c>
      <c r="N23" s="163">
        <f>+N22+N21+N20+N19</f>
        <v>27763685.139999993</v>
      </c>
    </row>
    <row r="24" spans="1:14" ht="17.399999999999999" x14ac:dyDescent="0.3">
      <c r="B24" s="145" t="s">
        <v>13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14" ht="15" thickBot="1" x14ac:dyDescent="0.3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thickBot="1" x14ac:dyDescent="0.35">
      <c r="A26" s="33" t="s">
        <v>38</v>
      </c>
      <c r="B26" s="34">
        <f>N23</f>
        <v>27763685.139999993</v>
      </c>
      <c r="N26" s="39"/>
    </row>
    <row r="27" spans="1:14" ht="15" thickBot="1" x14ac:dyDescent="0.35">
      <c r="A27" s="35" t="s">
        <v>32</v>
      </c>
      <c r="B27" s="36"/>
      <c r="N27" s="39"/>
    </row>
    <row r="28" spans="1:14" ht="15" thickBot="1" x14ac:dyDescent="0.35">
      <c r="A28" s="37" t="s">
        <v>16</v>
      </c>
      <c r="B28" s="38">
        <f>B26-B27</f>
        <v>27763685.139999993</v>
      </c>
    </row>
    <row r="29" spans="1:14" ht="15" thickTop="1" x14ac:dyDescent="0.3"/>
    <row r="30" spans="1:14" ht="15" thickBot="1" x14ac:dyDescent="0.35"/>
    <row r="31" spans="1:14" ht="15" thickBot="1" x14ac:dyDescent="0.35">
      <c r="A31" s="35" t="s">
        <v>34</v>
      </c>
      <c r="B31" s="36">
        <f>B15+B28</f>
        <v>2192364831.4899998</v>
      </c>
    </row>
    <row r="33" spans="2:13" x14ac:dyDescent="0.3">
      <c r="B33" s="39">
        <f>+B19*6.9%+B19</f>
        <v>512659.17547999998</v>
      </c>
    </row>
    <row r="34" spans="2:13" x14ac:dyDescent="0.3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x14ac:dyDescent="0.3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2:13" x14ac:dyDescent="0.3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2:13" x14ac:dyDescent="0.3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40" spans="2:13" x14ac:dyDescent="0.3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</row>
    <row r="41" spans="2:13" x14ac:dyDescent="0.3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2:13" x14ac:dyDescent="0.3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2:13" x14ac:dyDescent="0.3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</row>
  </sheetData>
  <mergeCells count="2">
    <mergeCell ref="A2:N2"/>
    <mergeCell ref="A17:N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380F-0F5C-40C1-BB4C-23CF74695887}">
  <dimension ref="A1:F41"/>
  <sheetViews>
    <sheetView workbookViewId="0">
      <selection activeCell="H17" sqref="H17"/>
    </sheetView>
  </sheetViews>
  <sheetFormatPr defaultRowHeight="14.4" x14ac:dyDescent="0.3"/>
  <cols>
    <col min="1" max="1" width="75.5546875" bestFit="1" customWidth="1"/>
    <col min="2" max="2" width="23.21875" bestFit="1" customWidth="1"/>
    <col min="3" max="3" width="13.5546875" bestFit="1" customWidth="1"/>
    <col min="4" max="5" width="11.21875" bestFit="1" customWidth="1"/>
    <col min="6" max="6" width="13.77734375" bestFit="1" customWidth="1"/>
  </cols>
  <sheetData>
    <row r="1" spans="1:6" x14ac:dyDescent="0.3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</row>
    <row r="2" spans="1:6" x14ac:dyDescent="0.3">
      <c r="A2" t="s">
        <v>83</v>
      </c>
      <c r="B2" t="s">
        <v>84</v>
      </c>
    </row>
    <row r="3" spans="1:6" x14ac:dyDescent="0.3">
      <c r="A3" t="s">
        <v>85</v>
      </c>
      <c r="F3">
        <v>74183040</v>
      </c>
    </row>
    <row r="4" spans="1:6" x14ac:dyDescent="0.3">
      <c r="A4" t="s">
        <v>86</v>
      </c>
      <c r="F4">
        <v>72642000</v>
      </c>
    </row>
    <row r="5" spans="1:6" x14ac:dyDescent="0.3">
      <c r="A5" t="s">
        <v>87</v>
      </c>
      <c r="F5">
        <v>31402440</v>
      </c>
    </row>
    <row r="6" spans="1:6" x14ac:dyDescent="0.3">
      <c r="A6" t="s">
        <v>88</v>
      </c>
      <c r="F6">
        <v>178227480</v>
      </c>
    </row>
    <row r="7" spans="1:6" x14ac:dyDescent="0.3">
      <c r="A7" t="s">
        <v>89</v>
      </c>
      <c r="F7">
        <v>231198.61</v>
      </c>
    </row>
    <row r="8" spans="1:6" x14ac:dyDescent="0.3">
      <c r="A8" t="s">
        <v>90</v>
      </c>
      <c r="F8">
        <v>250235.19</v>
      </c>
    </row>
    <row r="9" spans="1:6" x14ac:dyDescent="0.3">
      <c r="A9" t="s">
        <v>91</v>
      </c>
      <c r="F9">
        <v>254642.71</v>
      </c>
    </row>
    <row r="10" spans="1:6" x14ac:dyDescent="0.3">
      <c r="A10" t="s">
        <v>92</v>
      </c>
      <c r="F10">
        <v>254642.71</v>
      </c>
    </row>
    <row r="11" spans="1:6" x14ac:dyDescent="0.3">
      <c r="A11" t="s">
        <v>93</v>
      </c>
      <c r="F11">
        <v>4547760</v>
      </c>
    </row>
    <row r="12" spans="1:6" x14ac:dyDescent="0.3">
      <c r="A12" t="s">
        <v>94</v>
      </c>
      <c r="F12">
        <v>8629200</v>
      </c>
    </row>
    <row r="13" spans="1:6" x14ac:dyDescent="0.3">
      <c r="A13" t="s">
        <v>95</v>
      </c>
      <c r="F13">
        <v>3295320</v>
      </c>
    </row>
    <row r="14" spans="1:6" x14ac:dyDescent="0.3">
      <c r="A14" t="s">
        <v>96</v>
      </c>
      <c r="F14">
        <v>68</v>
      </c>
    </row>
    <row r="15" spans="1:6" x14ac:dyDescent="0.3">
      <c r="A15" t="s">
        <v>97</v>
      </c>
    </row>
    <row r="16" spans="1:6" x14ac:dyDescent="0.3">
      <c r="A16" t="s">
        <v>98</v>
      </c>
      <c r="B16" t="s">
        <v>99</v>
      </c>
      <c r="C16" t="s">
        <v>100</v>
      </c>
      <c r="D16" t="s">
        <v>101</v>
      </c>
    </row>
    <row r="17" spans="1:6" x14ac:dyDescent="0.3">
      <c r="A17" t="s">
        <v>102</v>
      </c>
    </row>
    <row r="18" spans="1:6" x14ac:dyDescent="0.3">
      <c r="A18" t="s">
        <v>103</v>
      </c>
      <c r="E18" t="s">
        <v>104</v>
      </c>
      <c r="F18">
        <v>2603.5500000000002</v>
      </c>
    </row>
    <row r="19" spans="1:6" x14ac:dyDescent="0.3">
      <c r="A19" t="s">
        <v>105</v>
      </c>
      <c r="E19" t="s">
        <v>104</v>
      </c>
      <c r="F19">
        <v>1760350</v>
      </c>
    </row>
    <row r="20" spans="1:6" x14ac:dyDescent="0.3">
      <c r="A20" t="s">
        <v>106</v>
      </c>
      <c r="E20" t="s">
        <v>104</v>
      </c>
      <c r="F20">
        <v>1285540</v>
      </c>
    </row>
    <row r="21" spans="1:6" x14ac:dyDescent="0.3">
      <c r="A21" t="s">
        <v>107</v>
      </c>
      <c r="E21" t="s">
        <v>104</v>
      </c>
      <c r="F21">
        <v>1657293.51</v>
      </c>
    </row>
    <row r="22" spans="1:6" x14ac:dyDescent="0.3">
      <c r="A22" t="s">
        <v>108</v>
      </c>
      <c r="E22" t="s">
        <v>104</v>
      </c>
      <c r="F22">
        <v>3149250</v>
      </c>
    </row>
    <row r="23" spans="1:6" x14ac:dyDescent="0.3">
      <c r="A23" t="s">
        <v>109</v>
      </c>
      <c r="E23" t="s">
        <v>104</v>
      </c>
      <c r="F23">
        <v>295204.32</v>
      </c>
    </row>
    <row r="24" spans="1:6" x14ac:dyDescent="0.3">
      <c r="A24" t="s">
        <v>110</v>
      </c>
      <c r="E24" t="s">
        <v>104</v>
      </c>
      <c r="F24">
        <v>21132469.68</v>
      </c>
    </row>
    <row r="25" spans="1:6" x14ac:dyDescent="0.3">
      <c r="A25" t="s">
        <v>111</v>
      </c>
      <c r="E25" t="s">
        <v>104</v>
      </c>
      <c r="F25">
        <v>13601746.609999999</v>
      </c>
    </row>
    <row r="26" spans="1:6" x14ac:dyDescent="0.3">
      <c r="A26" t="s">
        <v>112</v>
      </c>
      <c r="E26" t="s">
        <v>104</v>
      </c>
      <c r="F26">
        <v>15333225.960000001</v>
      </c>
    </row>
    <row r="27" spans="1:6" x14ac:dyDescent="0.3">
      <c r="A27" t="s">
        <v>113</v>
      </c>
      <c r="E27" t="s">
        <v>104</v>
      </c>
      <c r="F27">
        <v>6251385.5999999996</v>
      </c>
    </row>
    <row r="28" spans="1:6" x14ac:dyDescent="0.3">
      <c r="A28" t="s">
        <v>114</v>
      </c>
      <c r="E28" t="s">
        <v>104</v>
      </c>
      <c r="F28">
        <v>5033.53</v>
      </c>
    </row>
    <row r="29" spans="1:6" x14ac:dyDescent="0.3">
      <c r="A29" t="s">
        <v>115</v>
      </c>
      <c r="B29" t="s">
        <v>116</v>
      </c>
      <c r="E29" t="s">
        <v>104</v>
      </c>
      <c r="F29">
        <v>3520700</v>
      </c>
    </row>
    <row r="30" spans="1:6" x14ac:dyDescent="0.3">
      <c r="A30" t="s">
        <v>117</v>
      </c>
      <c r="B30" t="s">
        <v>118</v>
      </c>
      <c r="E30" t="s">
        <v>104</v>
      </c>
      <c r="F30">
        <v>2571080</v>
      </c>
    </row>
    <row r="31" spans="1:6" x14ac:dyDescent="0.3">
      <c r="A31" t="s">
        <v>119</v>
      </c>
      <c r="B31" t="s">
        <v>120</v>
      </c>
      <c r="E31" t="s">
        <v>104</v>
      </c>
      <c r="F31">
        <v>3750887.12</v>
      </c>
    </row>
    <row r="32" spans="1:6" x14ac:dyDescent="0.3">
      <c r="A32" t="s">
        <v>121</v>
      </c>
      <c r="B32" t="s">
        <v>122</v>
      </c>
      <c r="E32" t="s">
        <v>104</v>
      </c>
      <c r="F32">
        <v>6298500</v>
      </c>
    </row>
    <row r="33" spans="1:6" x14ac:dyDescent="0.3">
      <c r="A33" t="s">
        <v>123</v>
      </c>
      <c r="E33" t="s">
        <v>104</v>
      </c>
      <c r="F33">
        <v>613755.82999999996</v>
      </c>
    </row>
    <row r="34" spans="1:6" x14ac:dyDescent="0.3">
      <c r="A34" t="s">
        <v>124</v>
      </c>
      <c r="E34" t="s">
        <v>104</v>
      </c>
      <c r="F34">
        <v>4105401.48</v>
      </c>
    </row>
    <row r="35" spans="1:6" x14ac:dyDescent="0.3">
      <c r="A35" t="s">
        <v>125</v>
      </c>
      <c r="E35" t="s">
        <v>104</v>
      </c>
      <c r="F35">
        <v>2996992.22</v>
      </c>
    </row>
    <row r="36" spans="1:6" x14ac:dyDescent="0.3">
      <c r="A36" t="s">
        <v>126</v>
      </c>
      <c r="E36" t="s">
        <v>104</v>
      </c>
      <c r="F36">
        <v>81229677.099999994</v>
      </c>
    </row>
    <row r="37" spans="1:6" x14ac:dyDescent="0.3">
      <c r="A37" t="s">
        <v>127</v>
      </c>
      <c r="E37" t="s">
        <v>104</v>
      </c>
      <c r="F37">
        <v>32189210.399999999</v>
      </c>
    </row>
    <row r="38" spans="1:6" x14ac:dyDescent="0.3">
      <c r="A38" t="s">
        <v>128</v>
      </c>
      <c r="E38" t="s">
        <v>104</v>
      </c>
      <c r="F38">
        <v>58521875.329999998</v>
      </c>
    </row>
    <row r="39" spans="1:6" x14ac:dyDescent="0.3">
      <c r="A39" t="s">
        <v>129</v>
      </c>
      <c r="E39" t="s">
        <v>104</v>
      </c>
      <c r="F39">
        <v>1239211.2</v>
      </c>
    </row>
    <row r="40" spans="1:6" x14ac:dyDescent="0.3">
      <c r="A40" t="s">
        <v>130</v>
      </c>
      <c r="E40" t="s">
        <v>104</v>
      </c>
      <c r="F40">
        <v>12997182.24</v>
      </c>
    </row>
    <row r="41" spans="1:6" x14ac:dyDescent="0.3">
      <c r="A41" t="s">
        <v>131</v>
      </c>
      <c r="E41" t="s">
        <v>104</v>
      </c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D11B-3F5E-4DCF-97EB-689CAF4448E4}">
  <dimension ref="A1:H38"/>
  <sheetViews>
    <sheetView topLeftCell="A9" workbookViewId="0">
      <selection activeCell="F3" sqref="F1:F1048576"/>
    </sheetView>
  </sheetViews>
  <sheetFormatPr defaultRowHeight="14.4" x14ac:dyDescent="0.3"/>
  <cols>
    <col min="1" max="1" width="75.21875" bestFit="1" customWidth="1"/>
    <col min="2" max="2" width="25.5546875" bestFit="1" customWidth="1"/>
    <col min="3" max="3" width="13.5546875" bestFit="1" customWidth="1"/>
    <col min="4" max="5" width="11.21875" bestFit="1" customWidth="1"/>
    <col min="6" max="6" width="13.77734375" bestFit="1" customWidth="1"/>
  </cols>
  <sheetData>
    <row r="1" spans="1:6" x14ac:dyDescent="0.3">
      <c r="A1" t="s">
        <v>83</v>
      </c>
      <c r="B1" t="s">
        <v>134</v>
      </c>
      <c r="C1" t="s">
        <v>79</v>
      </c>
      <c r="D1" t="s">
        <v>80</v>
      </c>
      <c r="E1" t="s">
        <v>81</v>
      </c>
      <c r="F1" t="s">
        <v>82</v>
      </c>
    </row>
    <row r="2" spans="1:6" x14ac:dyDescent="0.3">
      <c r="A2" t="s">
        <v>85</v>
      </c>
      <c r="F2">
        <v>46324560</v>
      </c>
    </row>
    <row r="3" spans="1:6" x14ac:dyDescent="0.3">
      <c r="A3" t="s">
        <v>86</v>
      </c>
      <c r="F3">
        <v>50449200</v>
      </c>
    </row>
    <row r="4" spans="1:6" x14ac:dyDescent="0.3">
      <c r="A4" t="s">
        <v>87</v>
      </c>
      <c r="F4">
        <v>22171560</v>
      </c>
    </row>
    <row r="5" spans="1:6" x14ac:dyDescent="0.3">
      <c r="A5" t="s">
        <v>88</v>
      </c>
      <c r="F5">
        <v>118945320</v>
      </c>
    </row>
    <row r="6" spans="1:6" x14ac:dyDescent="0.3">
      <c r="A6" t="s">
        <v>89</v>
      </c>
      <c r="F6">
        <v>210526.51</v>
      </c>
    </row>
    <row r="7" spans="1:6" x14ac:dyDescent="0.3">
      <c r="A7" t="s">
        <v>90</v>
      </c>
      <c r="F7">
        <v>244399.67</v>
      </c>
    </row>
    <row r="8" spans="1:6" x14ac:dyDescent="0.3">
      <c r="A8" t="s">
        <v>91</v>
      </c>
      <c r="F8">
        <v>244040.82</v>
      </c>
    </row>
    <row r="9" spans="1:6" x14ac:dyDescent="0.3">
      <c r="A9" t="s">
        <v>92</v>
      </c>
      <c r="F9">
        <v>244399.67</v>
      </c>
    </row>
    <row r="10" spans="1:6" x14ac:dyDescent="0.3">
      <c r="A10" t="s">
        <v>93</v>
      </c>
      <c r="F10">
        <v>1742760</v>
      </c>
    </row>
    <row r="11" spans="1:6" x14ac:dyDescent="0.3">
      <c r="A11" t="s">
        <v>94</v>
      </c>
      <c r="F11">
        <v>5525280</v>
      </c>
    </row>
    <row r="12" spans="1:6" x14ac:dyDescent="0.3">
      <c r="A12" t="s">
        <v>95</v>
      </c>
      <c r="F12">
        <v>1997040</v>
      </c>
    </row>
    <row r="13" spans="1:6" x14ac:dyDescent="0.3">
      <c r="A13" t="s">
        <v>96</v>
      </c>
      <c r="F13">
        <v>68</v>
      </c>
    </row>
    <row r="14" spans="1:6" x14ac:dyDescent="0.3">
      <c r="A14" t="s">
        <v>97</v>
      </c>
    </row>
    <row r="15" spans="1:6" x14ac:dyDescent="0.3">
      <c r="A15" t="s">
        <v>98</v>
      </c>
      <c r="B15">
        <v>8788326006</v>
      </c>
      <c r="C15" t="s">
        <v>100</v>
      </c>
      <c r="D15" t="s">
        <v>101</v>
      </c>
    </row>
    <row r="16" spans="1:6" x14ac:dyDescent="0.3">
      <c r="A16" t="s">
        <v>102</v>
      </c>
    </row>
    <row r="17" spans="1:8" x14ac:dyDescent="0.3">
      <c r="A17" t="s">
        <v>135</v>
      </c>
      <c r="E17" t="s">
        <v>104</v>
      </c>
      <c r="F17">
        <v>6596.1</v>
      </c>
      <c r="H17" t="s">
        <v>155</v>
      </c>
    </row>
    <row r="18" spans="1:8" x14ac:dyDescent="0.3">
      <c r="A18" t="s">
        <v>136</v>
      </c>
      <c r="E18" t="s">
        <v>104</v>
      </c>
      <c r="F18">
        <v>382432</v>
      </c>
      <c r="H18">
        <f>Table010__Page_2___3[[#This Row],[Column6]]+F20+F22+F24+F26+F28+F29+F30+F34</f>
        <v>27701310.93</v>
      </c>
    </row>
    <row r="19" spans="1:8" x14ac:dyDescent="0.3">
      <c r="A19" t="s">
        <v>137</v>
      </c>
      <c r="E19" t="s">
        <v>104</v>
      </c>
      <c r="F19">
        <v>4078521</v>
      </c>
    </row>
    <row r="20" spans="1:8" x14ac:dyDescent="0.3">
      <c r="A20" t="s">
        <v>138</v>
      </c>
      <c r="E20" t="s">
        <v>104</v>
      </c>
      <c r="F20">
        <v>279395</v>
      </c>
    </row>
    <row r="21" spans="1:8" x14ac:dyDescent="0.3">
      <c r="A21" t="s">
        <v>139</v>
      </c>
      <c r="E21" t="s">
        <v>104</v>
      </c>
      <c r="F21">
        <v>2979675</v>
      </c>
    </row>
    <row r="22" spans="1:8" x14ac:dyDescent="0.3">
      <c r="A22" t="s">
        <v>140</v>
      </c>
      <c r="E22" t="s">
        <v>104</v>
      </c>
      <c r="F22">
        <v>391039.47</v>
      </c>
    </row>
    <row r="23" spans="1:8" x14ac:dyDescent="0.3">
      <c r="A23" t="s">
        <v>141</v>
      </c>
      <c r="E23" t="s">
        <v>104</v>
      </c>
      <c r="F23">
        <v>4170435.97</v>
      </c>
    </row>
    <row r="24" spans="1:8" x14ac:dyDescent="0.3">
      <c r="A24" t="s">
        <v>142</v>
      </c>
      <c r="E24" t="s">
        <v>104</v>
      </c>
      <c r="F24">
        <v>684114</v>
      </c>
    </row>
    <row r="25" spans="1:8" x14ac:dyDescent="0.3">
      <c r="A25" t="s">
        <v>143</v>
      </c>
      <c r="E25" t="s">
        <v>104</v>
      </c>
      <c r="F25">
        <v>7296570</v>
      </c>
    </row>
    <row r="26" spans="1:8" x14ac:dyDescent="0.3">
      <c r="A26" t="s">
        <v>144</v>
      </c>
      <c r="E26" t="s">
        <v>104</v>
      </c>
      <c r="F26">
        <v>67433.52</v>
      </c>
    </row>
    <row r="27" spans="1:8" x14ac:dyDescent="0.3">
      <c r="A27" t="s">
        <v>145</v>
      </c>
      <c r="E27" t="s">
        <v>104</v>
      </c>
      <c r="F27">
        <v>693450.42</v>
      </c>
    </row>
    <row r="28" spans="1:8" x14ac:dyDescent="0.3">
      <c r="A28" t="s">
        <v>146</v>
      </c>
      <c r="E28" t="s">
        <v>104</v>
      </c>
      <c r="F28">
        <v>13464447.699999999</v>
      </c>
    </row>
    <row r="29" spans="1:8" x14ac:dyDescent="0.3">
      <c r="A29" t="s">
        <v>147</v>
      </c>
      <c r="E29" t="s">
        <v>104</v>
      </c>
      <c r="F29">
        <v>2254349.04</v>
      </c>
    </row>
    <row r="30" spans="1:8" x14ac:dyDescent="0.3">
      <c r="A30" t="s">
        <v>148</v>
      </c>
      <c r="E30" t="s">
        <v>104</v>
      </c>
      <c r="F30">
        <v>8739927.1300000008</v>
      </c>
    </row>
    <row r="31" spans="1:8" x14ac:dyDescent="0.3">
      <c r="A31" t="s">
        <v>149</v>
      </c>
      <c r="E31" t="s">
        <v>104</v>
      </c>
      <c r="F31">
        <v>38585387.5</v>
      </c>
    </row>
    <row r="32" spans="1:8" x14ac:dyDescent="0.3">
      <c r="A32" t="s">
        <v>150</v>
      </c>
      <c r="E32" t="s">
        <v>104</v>
      </c>
      <c r="F32">
        <v>104085206.23999999</v>
      </c>
    </row>
    <row r="33" spans="1:6" x14ac:dyDescent="0.3">
      <c r="A33" t="s">
        <v>151</v>
      </c>
      <c r="E33" t="s">
        <v>104</v>
      </c>
      <c r="F33">
        <v>72380875.200000003</v>
      </c>
    </row>
    <row r="34" spans="1:6" x14ac:dyDescent="0.3">
      <c r="A34" t="s">
        <v>152</v>
      </c>
      <c r="E34" t="s">
        <v>104</v>
      </c>
      <c r="F34">
        <v>1438173.07</v>
      </c>
    </row>
    <row r="35" spans="1:6" x14ac:dyDescent="0.3">
      <c r="A35" t="s">
        <v>153</v>
      </c>
      <c r="E35" t="s">
        <v>104</v>
      </c>
      <c r="F35">
        <v>14829170.52</v>
      </c>
    </row>
    <row r="36" spans="1:6" x14ac:dyDescent="0.3">
      <c r="A36" t="s">
        <v>132</v>
      </c>
      <c r="E36" t="s">
        <v>104</v>
      </c>
      <c r="F36">
        <v>0</v>
      </c>
    </row>
    <row r="37" spans="1:6" x14ac:dyDescent="0.3">
      <c r="A37" t="s">
        <v>154</v>
      </c>
      <c r="E37" t="s">
        <v>104</v>
      </c>
      <c r="F37">
        <v>0</v>
      </c>
    </row>
    <row r="38" spans="1:6" x14ac:dyDescent="0.3">
      <c r="A38" t="s">
        <v>133</v>
      </c>
      <c r="E38" t="s">
        <v>104</v>
      </c>
      <c r="F38">
        <v>206551.77</v>
      </c>
    </row>
  </sheetData>
  <phoneticPr fontId="2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4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/ R N R 3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V L z d O N c r T R h 3 F t 9 K F + s A M A A A D / / w M A U E s D B B Q A A g A I A A A A I Q B 6 4 H y 6 D Q I A A J Q H A A A T A A A A R m 9 y b X V s Y X M v U 2 V j d G l v b j E u b e y S T 2 v b Q B D F 7 4 Z 8 h 0 G 5 S G A L / b P s t v g Q 5 I S q x L G p l E O x T N l K I 1 t E 2 h X a V R J j / N 2 7 s h W n a e 1 C D w U X u g e t 9 s 2 w + + b x 4 x i L j F E I 9 r v 5 o d P h K 1 J h A p d K S L 7 l a J g G q D O y R L A 0 B U a Q o 7 j o g F w B q 6 s Y p T J L U n 3 X y t W b L E f d Y 1 Q g F V x V v P f R P c e K R z w r y l X 2 h D r P n v E h i 6 Y U x 1 X 2 i N A D T 7 b m G I M a s F i D 2 3 A c + Z S X e z c 3 r C p C 5 C I K S Z W l 6 W f M i c A k E K z K k E c e 4 w J Y C k F d l v k a A l E n a 3 m h Z V h 2 N C F 0 S W q 6 h G v + w I r I N H W Y k H U 0 H A y H t u W a 1 r u v 8 t c a 9 F 3 H G D q G X i a p o n V h 7 h d l j o V 0 R J r n R 4 q p 2 8 p C 6 + 4 H P s Q x a m f f z P 1 k d E h J W W z n Y y L I o m 2 / V L y V d C G T D N c l N t H t O v W w I p S n c j K P 5 X V B m y J X X y 7 p b j b K X j e V L g h Z A 4 H P Y t u F F 9 0 6 o d s n d O e E 3 j + h u 2 / 0 r X b R y e j R g X 5 L C q j / M i 2 W D p 9 q + h M t h i N p c d 2 + C z Y k Z M 3 / E j S z i h V M + o a P S B K Z x i s 4 b a X V X 5 G B e V u 5 y v M g J j m p + E h U N R 4 8 / B G J R x z s o J z e B f e T W e h P 7 2 B 8 H V 7 5 t 8 E v A K k y T K t n u D 1 r u E 9 W H g Y 9 a 6 D J T p 8 K 1 9 G b J 8 6 Y W f v M m N 3 h K K N 7 Z F m M v K W 1 + T h w 8 y U y G 0 o l y j u E 3 7 I 6 c G x 5 d t z + f 0 i P Q W r / C K l 9 d p B + B w A A / / 8 D A F B L A Q I t A B Q A B g A I A A A A I Q A q 3 a p A 0 g A A A D c B A A A T A A A A A A A A A A A A A A A A A A A A A A B b Q 2 9 u d G V u d F 9 U e X B l c 1 0 u e G 1 s U E s B A i 0 A F A A C A A g A A A A h A P 0 T U d + t A A A A 9 w A A A B I A A A A A A A A A A A A A A A A A C w M A A E N v b m Z p Z y 9 Q Y W N r Y W d l L n h t b F B L A Q I t A B Q A A g A I A A A A I Q B 6 4 H y 6 D Q I A A J Q H A A A T A A A A A A A A A A A A A A A A A O g D A A B G b 3 J t d W x h c y 9 T Z W N 0 a W 9 u M S 5 t U E s F B g A A A A A D A A M A w g A A A C Y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J A A A A A A A A A 8 k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T A l M j A o U G F n Z S U y M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j F U M T A 6 N D E 6 N T I u M T U 3 N T Y 3 M V o i L z 4 8 R W 5 0 c n k g V H l w Z T 0 i R m l s b E N v b H V t b l R 5 c G V z I i B W Y W x 1 Z T 0 i c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i M D B l Z D A 4 L T c 5 Z T Q t N D d k O S 0 5 N j U 4 L W Y w Y T F m N T Y z Y j M 0 O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y K S 9 B d X R v U m V t b 3 Z l Z E N v b H V t b n M x L n t D b 2 x 1 b W 4 x L D B 9 J n F 1 b 3 Q 7 L C Z x d W 9 0 O 1 N l Y 3 R p b 2 4 x L 1 R h Y m x l M D E w I C h Q Y W d l I D I p L 0 F 1 d G 9 S Z W 1 v d m V k Q 2 9 s d W 1 u c z E u e 0 N v b H V t b j I s M X 0 m c X V v d D s s J n F 1 b 3 Q 7 U 2 V j d G l v b j E v V G F i b G U w M T A g K F B h Z 2 U g M i k v Q X V 0 b 1 J l b W 9 2 Z W R D b 2 x 1 b W 5 z M S 5 7 Q 2 9 s d W 1 u M y w y f S Z x d W 9 0 O y w m c X V v d D t T Z W N 0 a W 9 u M S 9 U Y W J s Z T A x M C A o U G F n Z S A y K S 9 B d X R v U m V t b 3 Z l Z E N v b H V t b n M x L n t D b 2 x 1 b W 4 0 L D N 9 J n F 1 b 3 Q 7 L C Z x d W 9 0 O 1 N l Y 3 R p b 2 4 x L 1 R h Y m x l M D E w I C h Q Y W d l I D I p L 0 F 1 d G 9 S Z W 1 v d m V k Q 2 9 s d W 1 u c z E u e 0 N v b H V t b j U s N H 0 m c X V v d D s s J n F 1 b 3 Q 7 U 2 V j d G l v b j E v V G F i b G U w M T A g K F B h Z 2 U g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y K S 9 B d X R v U m V t b 3 Z l Z E N v b H V t b n M x L n t D b 2 x 1 b W 4 x L D B 9 J n F 1 b 3 Q 7 L C Z x d W 9 0 O 1 N l Y 3 R p b 2 4 x L 1 R h Y m x l M D E w I C h Q Y W d l I D I p L 0 F 1 d G 9 S Z W 1 v d m V k Q 2 9 s d W 1 u c z E u e 0 N v b H V t b j I s M X 0 m c X V v d D s s J n F 1 b 3 Q 7 U 2 V j d G l v b j E v V G F i b G U w M T A g K F B h Z 2 U g M i k v Q X V 0 b 1 J l b W 9 2 Z W R D b 2 x 1 b W 5 z M S 5 7 Q 2 9 s d W 1 u M y w y f S Z x d W 9 0 O y w m c X V v d D t T Z W N 0 a W 9 u M S 9 U Y W J s Z T A x M C A o U G F n Z S A y K S 9 B d X R v U m V t b 3 Z l Z E N v b H V t b n M x L n t D b 2 x 1 b W 4 0 L D N 9 J n F 1 b 3 Q 7 L C Z x d W 9 0 O 1 N l Y 3 R p b 2 4 x L 1 R h Y m x l M D E w I C h Q Y W d l I D I p L 0 F 1 d G 9 S Z W 1 v d m V k Q 2 9 s d W 1 u c z E u e 0 N v b H V t b j U s N H 0 m c X V v d D s s J n F 1 b 3 Q 7 U 2 V j d G l v b j E v V G F i b G U w M T A g K F B h Z 2 U g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G F i b G U w M T B f X 1 B h Z 2 V f M i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j F U M T A 6 N D Y 6 M j Q u N j Q x M T k 5 M l o i L z 4 8 R W 5 0 c n k g V H l w Z T 0 i R m l s b E N v b H V t b l R 5 c G V z I i B W Y W x 1 Z T 0 i c 0 J n T U d C Z 1 l H I i 8 + P E V u d H J 5 I F R 5 c G U 9 I k Z p b G x D b 2 x 1 b W 5 O Y W 1 l c y I g V m F s d W U 9 I n N b J n F 1 b 3 Q 7 Q 0 9 O U 1 V N U F R J T 0 4 g R E V U Q U l M U y Z x d W 9 0 O y w m c X V v d D s o M j A y M i 0 w N i 0 y O C A t I D I w M j I t M D c t M j c p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N 2 M 4 Y 2 E w L T I 4 N T c t N G M w N C 1 i N z l k L T M 4 O T I 1 Z j Y 4 Z G M x O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y K S A o M i k v Q X V 0 b 1 J l b W 9 2 Z W R D b 2 x 1 b W 5 z M S 5 7 Q 0 9 O U 1 V N U F R J T 0 4 g R E V U Q U l M U y w w f S Z x d W 9 0 O y w m c X V v d D t T Z W N 0 a W 9 u M S 9 U Y W J s Z T A x M C A o U G F n Z S A y K S A o M i k v Q X V 0 b 1 J l b W 9 2 Z W R D b 2 x 1 b W 5 z M S 5 7 K D I w M j I t M D Y t M j g g L S A y M D I y L T A 3 L T I 3 K S w x f S Z x d W 9 0 O y w m c X V v d D t T Z W N 0 a W 9 u M S 9 U Y W J s Z T A x M C A o U G F n Z S A y K S A o M i k v Q X V 0 b 1 J l b W 9 2 Z W R D b 2 x 1 b W 5 z M S 5 7 Q 2 9 s d W 1 u M y w y f S Z x d W 9 0 O y w m c X V v d D t T Z W N 0 a W 9 u M S 9 U Y W J s Z T A x M C A o U G F n Z S A y K S A o M i k v Q X V 0 b 1 J l b W 9 2 Z W R D b 2 x 1 b W 5 z M S 5 7 Q 2 9 s d W 1 u N C w z f S Z x d W 9 0 O y w m c X V v d D t T Z W N 0 a W 9 u M S 9 U Y W J s Z T A x M C A o U G F n Z S A y K S A o M i k v Q X V 0 b 1 J l b W 9 2 Z W R D b 2 x 1 b W 5 z M S 5 7 Q 2 9 s d W 1 u N S w 0 f S Z x d W 9 0 O y w m c X V v d D t T Z W N 0 a W 9 u M S 9 U Y W J s Z T A x M C A o U G F n Z S A y K S A o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y K S A o M i k v Q X V 0 b 1 J l b W 9 2 Z W R D b 2 x 1 b W 5 z M S 5 7 Q 0 9 O U 1 V N U F R J T 0 4 g R E V U Q U l M U y w w f S Z x d W 9 0 O y w m c X V v d D t T Z W N 0 a W 9 u M S 9 U Y W J s Z T A x M C A o U G F n Z S A y K S A o M i k v Q X V 0 b 1 J l b W 9 2 Z W R D b 2 x 1 b W 5 z M S 5 7 K D I w M j I t M D Y t M j g g L S A y M D I y L T A 3 L T I 3 K S w x f S Z x d W 9 0 O y w m c X V v d D t T Z W N 0 a W 9 u M S 9 U Y W J s Z T A x M C A o U G F n Z S A y K S A o M i k v Q X V 0 b 1 J l b W 9 2 Z W R D b 2 x 1 b W 5 z M S 5 7 Q 2 9 s d W 1 u M y w y f S Z x d W 9 0 O y w m c X V v d D t T Z W N 0 a W 9 u M S 9 U Y W J s Z T A x M C A o U G F n Z S A y K S A o M i k v Q X V 0 b 1 J l b W 9 2 Z W R D b 2 x 1 b W 5 z M S 5 7 Q 2 9 s d W 1 u N C w z f S Z x d W 9 0 O y w m c X V v d D t T Z W N 0 a W 9 u M S 9 U Y W J s Z T A x M C A o U G F n Z S A y K S A o M i k v Q X V 0 b 1 J l b W 9 2 Z W R D b 2 x 1 b W 5 z M S 5 7 Q 2 9 s d W 1 u N S w 0 f S Z x d W 9 0 O y w m c X V v d D t T Z W N 0 a W 9 u M S 9 U Y W J s Z T A x M C A o U G F n Z S A y K S A o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I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j F U M T E 6 M j A 6 M z I u M T c 3 O D k 5 N 1 o i L z 4 8 R W 5 0 c n k g V H l w Z T 0 i R m l s b E N v b H V t b l R 5 c G V z I i B W Y W x 1 Z T 0 i c 0 J n T U d C Z 1 l H I i 8 + P E V u d H J 5 I F R 5 c G U 9 I k Z p b G x D b 2 x 1 b W 5 O Y W 1 l c y I g V m F s d W U 9 I n N b J n F 1 b 3 Q 7 Q 0 9 O U 1 V N U F R J T 0 4 g R E V U Q U l M U y Z x d W 9 0 O y w m c X V v d D s o M j A y M y 0 w N i 0 y O C A t I D I w M j M t M D c t M j c p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z O D U 1 N j A 3 L T h l M T Q t N D N h N S 0 4 Y j M 1 L W Y 2 M W Z m Y W Q 2 M D Y z N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y K S A o M y k v Q X V 0 b 1 J l b W 9 2 Z W R D b 2 x 1 b W 5 z M S 5 7 Q 0 9 O U 1 V N U F R J T 0 4 g R E V U Q U l M U y w w f S Z x d W 9 0 O y w m c X V v d D t T Z W N 0 a W 9 u M S 9 U Y W J s Z T A x M C A o U G F n Z S A y K S A o M y k v Q X V 0 b 1 J l b W 9 2 Z W R D b 2 x 1 b W 5 z M S 5 7 K D I w M j M t M D Y t M j g g L S A y M D I z L T A 3 L T I 3 K S w x f S Z x d W 9 0 O y w m c X V v d D t T Z W N 0 a W 9 u M S 9 U Y W J s Z T A x M C A o U G F n Z S A y K S A o M y k v Q X V 0 b 1 J l b W 9 2 Z W R D b 2 x 1 b W 5 z M S 5 7 Q 2 9 s d W 1 u M y w y f S Z x d W 9 0 O y w m c X V v d D t T Z W N 0 a W 9 u M S 9 U Y W J s Z T A x M C A o U G F n Z S A y K S A o M y k v Q X V 0 b 1 J l b W 9 2 Z W R D b 2 x 1 b W 5 z M S 5 7 Q 2 9 s d W 1 u N C w z f S Z x d W 9 0 O y w m c X V v d D t T Z W N 0 a W 9 u M S 9 U Y W J s Z T A x M C A o U G F n Z S A y K S A o M y k v Q X V 0 b 1 J l b W 9 2 Z W R D b 2 x 1 b W 5 z M S 5 7 Q 2 9 s d W 1 u N S w 0 f S Z x d W 9 0 O y w m c X V v d D t T Z W N 0 a W 9 u M S 9 U Y W J s Z T A x M C A o U G F n Z S A y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y K S A o M y k v Q X V 0 b 1 J l b W 9 2 Z W R D b 2 x 1 b W 5 z M S 5 7 Q 0 9 O U 1 V N U F R J T 0 4 g R E V U Q U l M U y w w f S Z x d W 9 0 O y w m c X V v d D t T Z W N 0 a W 9 u M S 9 U Y W J s Z T A x M C A o U G F n Z S A y K S A o M y k v Q X V 0 b 1 J l b W 9 2 Z W R D b 2 x 1 b W 5 z M S 5 7 K D I w M j M t M D Y t M j g g L S A y M D I z L T A 3 L T I 3 K S w x f S Z x d W 9 0 O y w m c X V v d D t T Z W N 0 a W 9 u M S 9 U Y W J s Z T A x M C A o U G F n Z S A y K S A o M y k v Q X V 0 b 1 J l b W 9 2 Z W R D b 2 x 1 b W 5 z M S 5 7 Q 2 9 s d W 1 u M y w y f S Z x d W 9 0 O y w m c X V v d D t T Z W N 0 a W 9 u M S 9 U Y W J s Z T A x M C A o U G F n Z S A y K S A o M y k v Q X V 0 b 1 J l b W 9 2 Z W R D b 2 x 1 b W 5 z M S 5 7 Q 2 9 s d W 1 u N C w z f S Z x d W 9 0 O y w m c X V v d D t T Z W N 0 a W 9 u M S 9 U Y W J s Z T A x M C A o U G F n Z S A y K S A o M y k v Q X V 0 b 1 J l b W 9 2 Z W R D b 2 x 1 b W 5 z M S 5 7 Q 2 9 s d W 1 u N S w 0 f S Z x d W 9 0 O y w m c X V v d D t T Z W N 0 a W 9 u M S 9 U Y W J s Z T A x M C A o U G F n Z S A y K S A o M y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G F i b G U w M T B f X 1 B h Z 2 V f M l 9 f X z M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I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I p J T I w K D I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i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i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y K S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y K S U y M C g z K S 9 U Y W J s Z T A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I p J T I w K D M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I p J T I w K D M p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s W X u Q e D e u S 7 / D I 5 8 x f u O N A A A A A A I A A A A A A A N m A A D A A A A A E A A A A D b o Q R 5 f A H I p V x r F H m 1 1 u D k A A A A A B I A A A K A A A A A Q A A A A O F a T S V L z 9 4 C X 8 r p b e T 4 z 5 l A A A A B 7 N Z d Y J U W / 6 4 u A m 1 J p K G 1 q 6 d w 6 8 a H J S 2 t J f H 8 d D V W 7 j K 4 V 1 L Y W y K T k r b 4 b 2 a y U a a e d S L Q x J 9 v 1 t Z 6 E a H O 4 r T 6 P O l W 5 U h R S W d F C o H 7 R X d k K i x Q A A A A u A 8 a 9 w Y H M S X V H / T g B 7 Z I C v l k T m Q = = < / D a t a M a s h u p > 
</file>

<file path=customXml/itemProps1.xml><?xml version="1.0" encoding="utf-8"?>
<ds:datastoreItem xmlns:ds="http://schemas.openxmlformats.org/officeDocument/2006/customXml" ds:itemID="{4D5C2F32-F613-402C-8C5A-2FB1E423F1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</vt:i4>
      </vt:variant>
    </vt:vector>
  </HeadingPairs>
  <TitlesOfParts>
    <vt:vector size="53" baseType="lpstr">
      <vt:lpstr>SUMMARY &amp; FBE</vt:lpstr>
      <vt:lpstr>MMM 20182019 Bulk Purchases</vt:lpstr>
      <vt:lpstr>MMM 20182019 BulkPurchases R91m</vt:lpstr>
      <vt:lpstr>MMM 20212022</vt:lpstr>
      <vt:lpstr>MMM 20202021 Bulk Purchases</vt:lpstr>
      <vt:lpstr>MMM 20212022 Bulk Purchases</vt:lpstr>
      <vt:lpstr>MMM 20222023 Bulk Purchases</vt:lpstr>
      <vt:lpstr>Table010 (Page 2)</vt:lpstr>
      <vt:lpstr>Table010 (Page 2) (3)</vt:lpstr>
      <vt:lpstr>BfnProj</vt:lpstr>
      <vt:lpstr>BotsProjec</vt:lpstr>
      <vt:lpstr>ThabPr</vt:lpstr>
      <vt:lpstr>vanst</vt:lpstr>
      <vt:lpstr>dewe</vt:lpstr>
      <vt:lpstr>Wep</vt:lpstr>
      <vt:lpstr>kana</vt:lpstr>
      <vt:lpstr>igom</vt:lpstr>
      <vt:lpstr>Sheet2</vt:lpstr>
      <vt:lpstr>Sheet3</vt:lpstr>
      <vt:lpstr>Sheet4</vt:lpstr>
      <vt:lpstr>Sheet5</vt:lpstr>
      <vt:lpstr>Sheet6</vt:lpstr>
      <vt:lpstr>Sheet9</vt:lpstr>
      <vt:lpstr>Sheet10</vt:lpstr>
      <vt:lpstr>Sheet13</vt:lpstr>
      <vt:lpstr>Sheet8</vt:lpstr>
      <vt:lpstr>Sheet7</vt:lpstr>
      <vt:lpstr>Sheet11</vt:lpstr>
      <vt:lpstr>Sheet12</vt:lpstr>
      <vt:lpstr>Sheet14</vt:lpstr>
      <vt:lpstr>Sheet15</vt:lpstr>
      <vt:lpstr>Sheet1</vt:lpstr>
      <vt:lpstr>MMM 20232024 Bulk Purchases</vt:lpstr>
      <vt:lpstr>MMM 20242025 Bulk Purchases1stP</vt:lpstr>
      <vt:lpstr>20242025BudgetAdj R81 mil</vt:lpstr>
      <vt:lpstr>Sheet16</vt:lpstr>
      <vt:lpstr>20242025BudgetAdjustment</vt:lpstr>
      <vt:lpstr>MMM 20252026 Actual</vt:lpstr>
      <vt:lpstr>MMM 20252026 Projections </vt:lpstr>
      <vt:lpstr>MMM 20262027 Bulk Purchases</vt:lpstr>
      <vt:lpstr>MMM 20272028 Bulk Purchases</vt:lpstr>
      <vt:lpstr>MMM 20282029 Bulk Purchases</vt:lpstr>
      <vt:lpstr>MMM 20292030</vt:lpstr>
      <vt:lpstr>MMM 20302031</vt:lpstr>
      <vt:lpstr>MMM 20312032</vt:lpstr>
      <vt:lpstr>MMM 20322033</vt:lpstr>
      <vt:lpstr>MMM 20332034</vt:lpstr>
      <vt:lpstr>MMM 20342035</vt:lpstr>
      <vt:lpstr>Sheet17</vt:lpstr>
      <vt:lpstr>'MMM 20232024 Bulk Purchases'!Print_Area</vt:lpstr>
      <vt:lpstr>'MMM 20252026 Actual'!Print_Area</vt:lpstr>
      <vt:lpstr>'MMM 20262027 Bulk Purchases'!Print_Area</vt:lpstr>
      <vt:lpstr>'MMM 20272028 Bulk Purchases'!Print_Area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Simphiwe Sixeki</dc:creator>
  <cp:lastModifiedBy>Simphiwe Sixeki</cp:lastModifiedBy>
  <cp:lastPrinted>2025-05-09T09:01:18Z</cp:lastPrinted>
  <dcterms:created xsi:type="dcterms:W3CDTF">2018-08-08T14:05:39Z</dcterms:created>
  <dcterms:modified xsi:type="dcterms:W3CDTF">2026-03-12T09:36:05Z</dcterms:modified>
</cp:coreProperties>
</file>